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F972E345-A598-4374-835E-4F968356A38B}" xr6:coauthVersionLast="47" xr6:coauthVersionMax="47" xr10:uidLastSave="{00000000-0000-0000-0000-000000000000}"/>
  <bookViews>
    <workbookView xWindow="-120" yWindow="-120" windowWidth="29040" windowHeight="15720" tabRatio="742" xr2:uid="{00000000-000D-0000-FFFF-FFFF00000000}"/>
  </bookViews>
  <sheets>
    <sheet name="set up" sheetId="1" r:id="rId1"/>
    <sheet name="TAN" sheetId="12" r:id="rId2"/>
    <sheet name="pH" sheetId="2" r:id="rId3"/>
    <sheet name="VFA summary" sheetId="11" r:id="rId4"/>
    <sheet name="VFA day 1" sheetId="3" r:id="rId5"/>
    <sheet name="VFA day 2" sheetId="4" r:id="rId6"/>
    <sheet name="VFA day 5" sheetId="7" r:id="rId7"/>
    <sheet name="VFA day 6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11" l="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G16" i="11"/>
  <c r="G15" i="11"/>
  <c r="G14" i="11"/>
  <c r="G13" i="11"/>
  <c r="G12" i="11"/>
  <c r="G11" i="11"/>
  <c r="G10" i="11"/>
  <c r="G9" i="11"/>
  <c r="G8" i="11"/>
  <c r="G7" i="11"/>
  <c r="G6" i="11"/>
  <c r="G5" i="11"/>
  <c r="G4" i="11"/>
  <c r="G3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K34" i="11" l="1"/>
  <c r="K33" i="11"/>
  <c r="K32" i="11"/>
  <c r="K31" i="11"/>
  <c r="K30" i="11"/>
  <c r="K29" i="11"/>
  <c r="K35" i="11"/>
  <c r="K26" i="11"/>
  <c r="K25" i="11"/>
  <c r="K24" i="11"/>
  <c r="K23" i="11"/>
  <c r="K22" i="11"/>
  <c r="K21" i="11"/>
  <c r="K20" i="11"/>
  <c r="O23" i="1" l="1"/>
  <c r="N23" i="1"/>
  <c r="G23" i="1"/>
  <c r="F23" i="1"/>
  <c r="O22" i="1"/>
  <c r="N22" i="1"/>
  <c r="G22" i="1"/>
  <c r="F22" i="1"/>
  <c r="O21" i="1"/>
  <c r="N21" i="1"/>
  <c r="G21" i="1"/>
  <c r="F21" i="1"/>
  <c r="H23" i="1" l="1"/>
  <c r="H22" i="1"/>
  <c r="O24" i="1"/>
  <c r="P22" i="1"/>
  <c r="P23" i="1"/>
  <c r="G24" i="1"/>
  <c r="F24" i="1"/>
  <c r="N24" i="1"/>
  <c r="H21" i="1"/>
  <c r="H24" i="1" s="1"/>
  <c r="P21" i="1"/>
  <c r="P24" i="1" l="1"/>
  <c r="I35" i="1"/>
  <c r="J35" i="1" s="1"/>
  <c r="I36" i="1"/>
  <c r="J36" i="1" s="1"/>
  <c r="I37" i="1"/>
  <c r="J37" i="1" s="1"/>
  <c r="I38" i="1"/>
  <c r="J38" i="1" s="1"/>
  <c r="I33" i="1"/>
  <c r="J33" i="1" s="1"/>
  <c r="I39" i="1"/>
  <c r="J39" i="1" s="1"/>
  <c r="I40" i="1"/>
  <c r="J40" i="1" s="1"/>
  <c r="I41" i="1"/>
  <c r="J41" i="1" s="1"/>
  <c r="I30" i="1"/>
  <c r="J30" i="1" s="1"/>
  <c r="I31" i="1"/>
  <c r="J31" i="1" s="1"/>
  <c r="I34" i="1"/>
  <c r="J34" i="1" s="1"/>
  <c r="I28" i="1"/>
  <c r="J28" i="1" s="1"/>
  <c r="I29" i="1"/>
  <c r="J29" i="1" s="1"/>
  <c r="I32" i="1"/>
  <c r="J32" i="1" s="1"/>
  <c r="D14" i="12"/>
  <c r="E14" i="12" s="1"/>
  <c r="F14" i="12" s="1"/>
  <c r="D13" i="12"/>
  <c r="D12" i="12"/>
  <c r="E12" i="12" s="1"/>
  <c r="F12" i="12" s="1"/>
  <c r="D11" i="12"/>
  <c r="D10" i="12"/>
  <c r="E10" i="12" s="1"/>
  <c r="F10" i="12" s="1"/>
  <c r="D9" i="12"/>
  <c r="D8" i="12"/>
  <c r="D6" i="12"/>
  <c r="E6" i="12" s="1"/>
  <c r="F6" i="12" s="1"/>
  <c r="D5" i="12"/>
  <c r="G5" i="12" s="1"/>
  <c r="D4" i="12"/>
  <c r="E4" i="12" s="1"/>
  <c r="F4" i="12" s="1"/>
  <c r="E11" i="12" l="1"/>
  <c r="F11" i="12" s="1"/>
  <c r="L6" i="12"/>
  <c r="E8" i="12"/>
  <c r="F8" i="12" s="1"/>
  <c r="L4" i="12"/>
  <c r="E9" i="12"/>
  <c r="F9" i="12" s="1"/>
  <c r="L5" i="12"/>
  <c r="E13" i="12"/>
  <c r="F13" i="12" s="1"/>
  <c r="L7" i="12"/>
  <c r="N12" i="11"/>
  <c r="O12" i="11"/>
  <c r="N4" i="11"/>
  <c r="O4" i="11"/>
  <c r="N9" i="11"/>
  <c r="O9" i="11"/>
  <c r="N13" i="11"/>
  <c r="O13" i="11"/>
  <c r="L3" i="11"/>
  <c r="N3" i="11"/>
  <c r="O3" i="11"/>
  <c r="N5" i="11"/>
  <c r="O5" i="11"/>
  <c r="O16" i="11"/>
  <c r="N16" i="11"/>
  <c r="N15" i="11"/>
  <c r="O15" i="11"/>
  <c r="N8" i="11"/>
  <c r="O8" i="11"/>
  <c r="N10" i="11"/>
  <c r="O10" i="11"/>
  <c r="N7" i="11"/>
  <c r="O7" i="11"/>
  <c r="N6" i="11"/>
  <c r="O6" i="11"/>
  <c r="N14" i="11"/>
  <c r="O14" i="11"/>
  <c r="O11" i="11"/>
  <c r="N11" i="11"/>
  <c r="G6" i="12"/>
  <c r="H5" i="12" s="1"/>
  <c r="E5" i="12"/>
  <c r="F5" i="12" s="1"/>
  <c r="L12" i="12" l="1"/>
  <c r="N35" i="11"/>
  <c r="N26" i="11"/>
  <c r="O21" i="11"/>
  <c r="O30" i="11"/>
  <c r="N21" i="11"/>
  <c r="N30" i="11"/>
  <c r="O29" i="11"/>
  <c r="O20" i="11"/>
  <c r="N29" i="11"/>
  <c r="N20" i="11"/>
  <c r="N24" i="11"/>
  <c r="N33" i="11"/>
  <c r="O25" i="11"/>
  <c r="O34" i="11"/>
  <c r="N34" i="11"/>
  <c r="N25" i="11"/>
  <c r="O23" i="11"/>
  <c r="O32" i="11"/>
  <c r="O26" i="11"/>
  <c r="O35" i="11"/>
  <c r="O33" i="11"/>
  <c r="O24" i="11"/>
  <c r="O31" i="11"/>
  <c r="O22" i="11"/>
  <c r="N31" i="11"/>
  <c r="N22" i="11"/>
  <c r="N23" i="11"/>
  <c r="N32" i="11"/>
  <c r="L15" i="12"/>
  <c r="L13" i="12"/>
  <c r="L14" i="12"/>
  <c r="F26" i="11" l="1"/>
  <c r="B26" i="11"/>
  <c r="F25" i="11"/>
  <c r="B25" i="11"/>
  <c r="B24" i="11"/>
  <c r="B23" i="11"/>
  <c r="B22" i="11"/>
  <c r="B21" i="11"/>
  <c r="B20" i="11"/>
  <c r="E26" i="11"/>
  <c r="E25" i="11"/>
  <c r="F24" i="11"/>
  <c r="E24" i="11"/>
  <c r="F23" i="11"/>
  <c r="E23" i="11"/>
  <c r="F22" i="11"/>
  <c r="E22" i="11"/>
  <c r="F21" i="11"/>
  <c r="E21" i="11"/>
  <c r="F20" i="11"/>
  <c r="E20" i="11"/>
  <c r="I59" i="8" l="1"/>
  <c r="J59" i="8" s="1"/>
  <c r="D59" i="8"/>
  <c r="E59" i="8" s="1"/>
  <c r="I57" i="8"/>
  <c r="J57" i="8" s="1"/>
  <c r="D57" i="8"/>
  <c r="E57" i="8" s="1"/>
  <c r="I56" i="8"/>
  <c r="J56" i="8" s="1"/>
  <c r="D56" i="8"/>
  <c r="E56" i="8" s="1"/>
  <c r="S47" i="8"/>
  <c r="T47" i="8" s="1"/>
  <c r="N47" i="8"/>
  <c r="O47" i="8" s="1"/>
  <c r="I47" i="8"/>
  <c r="J47" i="8" s="1"/>
  <c r="D47" i="8"/>
  <c r="E47" i="8" s="1"/>
  <c r="S45" i="8"/>
  <c r="T45" i="8" s="1"/>
  <c r="N45" i="8"/>
  <c r="O45" i="8" s="1"/>
  <c r="I45" i="8"/>
  <c r="J45" i="8" s="1"/>
  <c r="D45" i="8"/>
  <c r="E45" i="8" s="1"/>
  <c r="S44" i="8"/>
  <c r="T44" i="8" s="1"/>
  <c r="N44" i="8"/>
  <c r="O44" i="8" s="1"/>
  <c r="I44" i="8"/>
  <c r="J44" i="8" s="1"/>
  <c r="D44" i="8"/>
  <c r="E44" i="8" s="1"/>
  <c r="S33" i="8"/>
  <c r="T33" i="8" s="1"/>
  <c r="N33" i="8"/>
  <c r="O33" i="8" s="1"/>
  <c r="I33" i="8"/>
  <c r="J33" i="8" s="1"/>
  <c r="D33" i="8"/>
  <c r="E33" i="8" s="1"/>
  <c r="K12" i="8"/>
  <c r="J12" i="8"/>
  <c r="I12" i="8"/>
  <c r="K11" i="8"/>
  <c r="J11" i="8"/>
  <c r="I11" i="8"/>
  <c r="K10" i="8"/>
  <c r="J10" i="8"/>
  <c r="I10" i="8"/>
  <c r="K9" i="8"/>
  <c r="J9" i="8"/>
  <c r="I9" i="8"/>
  <c r="S32" i="8" s="1"/>
  <c r="T32" i="8" s="1"/>
  <c r="K8" i="8"/>
  <c r="J8" i="8"/>
  <c r="I8" i="8"/>
  <c r="K7" i="8"/>
  <c r="J7" i="8"/>
  <c r="I7" i="8"/>
  <c r="K6" i="8"/>
  <c r="J6" i="8"/>
  <c r="I6" i="8"/>
  <c r="K5" i="8"/>
  <c r="J5" i="8"/>
  <c r="I5" i="8"/>
  <c r="S40" i="8" s="1"/>
  <c r="T40" i="8" s="1"/>
  <c r="I59" i="7"/>
  <c r="J59" i="7" s="1"/>
  <c r="D59" i="7"/>
  <c r="E59" i="7" s="1"/>
  <c r="I57" i="7"/>
  <c r="J57" i="7" s="1"/>
  <c r="D57" i="7"/>
  <c r="E57" i="7" s="1"/>
  <c r="I56" i="7"/>
  <c r="J56" i="7" s="1"/>
  <c r="D56" i="7"/>
  <c r="E56" i="7" s="1"/>
  <c r="S47" i="7"/>
  <c r="T47" i="7" s="1"/>
  <c r="N47" i="7"/>
  <c r="O47" i="7" s="1"/>
  <c r="I47" i="7"/>
  <c r="J47" i="7" s="1"/>
  <c r="D47" i="7"/>
  <c r="E47" i="7" s="1"/>
  <c r="S45" i="7"/>
  <c r="T45" i="7" s="1"/>
  <c r="N45" i="7"/>
  <c r="O45" i="7" s="1"/>
  <c r="I45" i="7"/>
  <c r="J45" i="7" s="1"/>
  <c r="D45" i="7"/>
  <c r="E45" i="7" s="1"/>
  <c r="S35" i="7"/>
  <c r="T35" i="7" s="1"/>
  <c r="N35" i="7"/>
  <c r="O35" i="7" s="1"/>
  <c r="I35" i="7"/>
  <c r="J35" i="7" s="1"/>
  <c r="N34" i="7"/>
  <c r="O34" i="7" s="1"/>
  <c r="I34" i="7"/>
  <c r="J34" i="7" s="1"/>
  <c r="S33" i="7"/>
  <c r="T33" i="7" s="1"/>
  <c r="N33" i="7"/>
  <c r="O33" i="7" s="1"/>
  <c r="I33" i="7"/>
  <c r="J33" i="7" s="1"/>
  <c r="D33" i="7"/>
  <c r="E33" i="7" s="1"/>
  <c r="N22" i="7"/>
  <c r="O22" i="7" s="1"/>
  <c r="S21" i="7"/>
  <c r="T21" i="7" s="1"/>
  <c r="N21" i="7"/>
  <c r="O21" i="7" s="1"/>
  <c r="I21" i="7"/>
  <c r="J21" i="7" s="1"/>
  <c r="K12" i="7"/>
  <c r="J12" i="7"/>
  <c r="I12" i="7"/>
  <c r="I23" i="7" s="1"/>
  <c r="J23" i="7" s="1"/>
  <c r="K11" i="7"/>
  <c r="J11" i="7"/>
  <c r="S46" i="7" s="1"/>
  <c r="T46" i="7" s="1"/>
  <c r="I11" i="7"/>
  <c r="K10" i="7"/>
  <c r="J10" i="7"/>
  <c r="I10" i="7"/>
  <c r="K9" i="7"/>
  <c r="J9" i="7"/>
  <c r="I9" i="7"/>
  <c r="K8" i="7"/>
  <c r="J8" i="7"/>
  <c r="I8" i="7"/>
  <c r="K7" i="7"/>
  <c r="J7" i="7"/>
  <c r="I7" i="7"/>
  <c r="K6" i="7"/>
  <c r="J6" i="7"/>
  <c r="I6" i="7"/>
  <c r="K5" i="7"/>
  <c r="J5" i="7"/>
  <c r="I5" i="7"/>
  <c r="I57" i="4"/>
  <c r="J57" i="4" s="1"/>
  <c r="D57" i="4"/>
  <c r="E57" i="4" s="1"/>
  <c r="D56" i="4"/>
  <c r="E56" i="4" s="1"/>
  <c r="D54" i="4"/>
  <c r="E54" i="4" s="1"/>
  <c r="S47" i="4"/>
  <c r="T47" i="4" s="1"/>
  <c r="N47" i="4"/>
  <c r="O47" i="4" s="1"/>
  <c r="S45" i="4"/>
  <c r="T45" i="4" s="1"/>
  <c r="N45" i="4"/>
  <c r="O45" i="4" s="1"/>
  <c r="I45" i="4"/>
  <c r="J45" i="4" s="1"/>
  <c r="D45" i="4"/>
  <c r="E45" i="4" s="1"/>
  <c r="S44" i="4"/>
  <c r="T44" i="4" s="1"/>
  <c r="N42" i="4"/>
  <c r="O42" i="4" s="1"/>
  <c r="S35" i="4"/>
  <c r="T35" i="4" s="1"/>
  <c r="N35" i="4"/>
  <c r="O35" i="4" s="1"/>
  <c r="S33" i="4"/>
  <c r="T33" i="4" s="1"/>
  <c r="N33" i="4"/>
  <c r="O33" i="4" s="1"/>
  <c r="I33" i="4"/>
  <c r="J33" i="4" s="1"/>
  <c r="D33" i="4"/>
  <c r="E33" i="4" s="1"/>
  <c r="K12" i="4"/>
  <c r="J12" i="4"/>
  <c r="I12" i="4"/>
  <c r="K11" i="4"/>
  <c r="J11" i="4"/>
  <c r="I11" i="4"/>
  <c r="K10" i="4"/>
  <c r="J10" i="4"/>
  <c r="I10" i="4"/>
  <c r="K9" i="4"/>
  <c r="J9" i="4"/>
  <c r="N44" i="4" s="1"/>
  <c r="O44" i="4" s="1"/>
  <c r="I9" i="4"/>
  <c r="K8" i="4"/>
  <c r="J8" i="4"/>
  <c r="I8" i="4"/>
  <c r="I55" i="4" s="1"/>
  <c r="J55" i="4" s="1"/>
  <c r="K7" i="4"/>
  <c r="J7" i="4"/>
  <c r="I7" i="4"/>
  <c r="K6" i="4"/>
  <c r="J6" i="4"/>
  <c r="I6" i="4"/>
  <c r="K5" i="4"/>
  <c r="J5" i="4"/>
  <c r="I5" i="4"/>
  <c r="I57" i="3"/>
  <c r="J57" i="3" s="1"/>
  <c r="D57" i="3"/>
  <c r="E57" i="3" s="1"/>
  <c r="I54" i="3"/>
  <c r="J54" i="3" s="1"/>
  <c r="D54" i="3"/>
  <c r="E54" i="3" s="1"/>
  <c r="S47" i="3"/>
  <c r="T47" i="3" s="1"/>
  <c r="S45" i="3"/>
  <c r="T45" i="3" s="1"/>
  <c r="N45" i="3"/>
  <c r="O45" i="3" s="1"/>
  <c r="I45" i="3"/>
  <c r="J45" i="3" s="1"/>
  <c r="D45" i="3"/>
  <c r="E45" i="3" s="1"/>
  <c r="N44" i="3"/>
  <c r="O44" i="3" s="1"/>
  <c r="S42" i="3"/>
  <c r="T42" i="3" s="1"/>
  <c r="N42" i="3"/>
  <c r="O42" i="3" s="1"/>
  <c r="I42" i="3"/>
  <c r="J42" i="3" s="1"/>
  <c r="D42" i="3"/>
  <c r="E42" i="3" s="1"/>
  <c r="S35" i="3"/>
  <c r="T35" i="3" s="1"/>
  <c r="N35" i="3"/>
  <c r="O35" i="3" s="1"/>
  <c r="I35" i="3"/>
  <c r="J35" i="3" s="1"/>
  <c r="N34" i="3"/>
  <c r="O34" i="3" s="1"/>
  <c r="I34" i="3"/>
  <c r="J34" i="3" s="1"/>
  <c r="D34" i="3"/>
  <c r="E34" i="3" s="1"/>
  <c r="S33" i="3"/>
  <c r="T33" i="3" s="1"/>
  <c r="N33" i="3"/>
  <c r="O33" i="3" s="1"/>
  <c r="I33" i="3"/>
  <c r="J33" i="3" s="1"/>
  <c r="D33" i="3"/>
  <c r="E33" i="3" s="1"/>
  <c r="D30" i="3"/>
  <c r="E30" i="3" s="1"/>
  <c r="S21" i="3"/>
  <c r="T21" i="3" s="1"/>
  <c r="N21" i="3"/>
  <c r="O21" i="3" s="1"/>
  <c r="N18" i="3"/>
  <c r="O18" i="3" s="1"/>
  <c r="K12" i="3"/>
  <c r="J12" i="3"/>
  <c r="I12" i="3"/>
  <c r="K11" i="3"/>
  <c r="J11" i="3"/>
  <c r="D22" i="3" s="1"/>
  <c r="E22" i="3" s="1"/>
  <c r="I11" i="3"/>
  <c r="K10" i="3"/>
  <c r="J10" i="3"/>
  <c r="I10" i="3"/>
  <c r="K9" i="3"/>
  <c r="J9" i="3"/>
  <c r="I9" i="3"/>
  <c r="K8" i="3"/>
  <c r="J8" i="3"/>
  <c r="I8" i="3"/>
  <c r="K7" i="3"/>
  <c r="J7" i="3"/>
  <c r="I7" i="3"/>
  <c r="K6" i="3"/>
  <c r="J6" i="3"/>
  <c r="I6" i="3"/>
  <c r="K5" i="3"/>
  <c r="J5" i="3"/>
  <c r="I5" i="3"/>
  <c r="I26" i="2"/>
  <c r="H26" i="2"/>
  <c r="G26" i="2"/>
  <c r="F26" i="2"/>
  <c r="E26" i="2"/>
  <c r="D26" i="2"/>
  <c r="C26" i="2"/>
  <c r="B26" i="2"/>
  <c r="I25" i="2"/>
  <c r="H25" i="2"/>
  <c r="G25" i="2"/>
  <c r="F25" i="2"/>
  <c r="E25" i="2"/>
  <c r="D25" i="2"/>
  <c r="C25" i="2"/>
  <c r="B25" i="2"/>
  <c r="I24" i="2"/>
  <c r="H24" i="2"/>
  <c r="G24" i="2"/>
  <c r="F24" i="2"/>
  <c r="E24" i="2"/>
  <c r="D24" i="2"/>
  <c r="C24" i="2"/>
  <c r="B24" i="2"/>
  <c r="I23" i="2"/>
  <c r="H23" i="2"/>
  <c r="G23" i="2"/>
  <c r="F23" i="2"/>
  <c r="E23" i="2"/>
  <c r="D23" i="2"/>
  <c r="C23" i="2"/>
  <c r="B23" i="2"/>
  <c r="I22" i="2"/>
  <c r="H22" i="2"/>
  <c r="G22" i="2"/>
  <c r="F22" i="2"/>
  <c r="E22" i="2"/>
  <c r="D22" i="2"/>
  <c r="C22" i="2"/>
  <c r="B22" i="2"/>
  <c r="I21" i="2"/>
  <c r="H21" i="2"/>
  <c r="G21" i="2"/>
  <c r="F21" i="2"/>
  <c r="E21" i="2"/>
  <c r="D21" i="2"/>
  <c r="C21" i="2"/>
  <c r="B21" i="2"/>
  <c r="I20" i="2"/>
  <c r="H20" i="2"/>
  <c r="G20" i="2"/>
  <c r="F20" i="2"/>
  <c r="E20" i="2"/>
  <c r="D20" i="2"/>
  <c r="C20" i="2"/>
  <c r="B20" i="2"/>
  <c r="S35" i="8" l="1"/>
  <c r="T35" i="8" s="1"/>
  <c r="S23" i="4"/>
  <c r="T23" i="4" s="1"/>
  <c r="N44" i="7"/>
  <c r="O44" i="7" s="1"/>
  <c r="I55" i="8"/>
  <c r="J55" i="8" s="1"/>
  <c r="N40" i="7"/>
  <c r="O40" i="7" s="1"/>
  <c r="D23" i="7"/>
  <c r="E23" i="7" s="1"/>
  <c r="N40" i="4"/>
  <c r="O40" i="4" s="1"/>
  <c r="S42" i="7"/>
  <c r="T42" i="7" s="1"/>
  <c r="I53" i="8"/>
  <c r="J53" i="8" s="1"/>
  <c r="D58" i="3"/>
  <c r="E58" i="3" s="1"/>
  <c r="D22" i="8"/>
  <c r="E22" i="8" s="1"/>
  <c r="D46" i="8"/>
  <c r="E46" i="8" s="1"/>
  <c r="S21" i="8"/>
  <c r="T21" i="8" s="1"/>
  <c r="D19" i="8"/>
  <c r="E19" i="8" s="1"/>
  <c r="D35" i="8"/>
  <c r="E35" i="8" s="1"/>
  <c r="D31" i="7"/>
  <c r="E31" i="7" s="1"/>
  <c r="S23" i="7"/>
  <c r="T23" i="7" s="1"/>
  <c r="S43" i="7"/>
  <c r="T43" i="7" s="1"/>
  <c r="I31" i="8"/>
  <c r="J31" i="8" s="1"/>
  <c r="I35" i="8"/>
  <c r="J35" i="8" s="1"/>
  <c r="S23" i="8"/>
  <c r="T23" i="8" s="1"/>
  <c r="D47" i="4"/>
  <c r="E47" i="4" s="1"/>
  <c r="I59" i="4"/>
  <c r="J59" i="4" s="1"/>
  <c r="D55" i="4"/>
  <c r="E55" i="4" s="1"/>
  <c r="D59" i="4"/>
  <c r="E59" i="4" s="1"/>
  <c r="D23" i="4"/>
  <c r="E23" i="4" s="1"/>
  <c r="D35" i="4"/>
  <c r="E35" i="4" s="1"/>
  <c r="D43" i="4"/>
  <c r="E43" i="4" s="1"/>
  <c r="S40" i="7"/>
  <c r="T40" i="7" s="1"/>
  <c r="I53" i="7"/>
  <c r="J53" i="7" s="1"/>
  <c r="S44" i="7"/>
  <c r="T44" i="7" s="1"/>
  <c r="D21" i="7"/>
  <c r="E21" i="7" s="1"/>
  <c r="D19" i="7"/>
  <c r="E19" i="7" s="1"/>
  <c r="I55" i="7"/>
  <c r="J55" i="7" s="1"/>
  <c r="N40" i="8"/>
  <c r="O40" i="8" s="1"/>
  <c r="N32" i="8"/>
  <c r="O32" i="8" s="1"/>
  <c r="S19" i="8"/>
  <c r="T19" i="8" s="1"/>
  <c r="D31" i="8"/>
  <c r="E31" i="8" s="1"/>
  <c r="S19" i="4"/>
  <c r="T19" i="4" s="1"/>
  <c r="S42" i="4"/>
  <c r="T42" i="4" s="1"/>
  <c r="S46" i="4"/>
  <c r="T46" i="4" s="1"/>
  <c r="S43" i="4"/>
  <c r="T43" i="4" s="1"/>
  <c r="S19" i="7"/>
  <c r="T19" i="7" s="1"/>
  <c r="D22" i="7"/>
  <c r="E22" i="7" s="1"/>
  <c r="D55" i="8"/>
  <c r="E55" i="8" s="1"/>
  <c r="N35" i="8"/>
  <c r="O35" i="8" s="1"/>
  <c r="S31" i="8"/>
  <c r="T31" i="8" s="1"/>
  <c r="D43" i="8"/>
  <c r="E43" i="8" s="1"/>
  <c r="S31" i="4"/>
  <c r="T31" i="4" s="1"/>
  <c r="D34" i="7"/>
  <c r="E34" i="7" s="1"/>
  <c r="S40" i="3"/>
  <c r="T40" i="3" s="1"/>
  <c r="S44" i="3"/>
  <c r="T44" i="3" s="1"/>
  <c r="S40" i="4"/>
  <c r="T40" i="4" s="1"/>
  <c r="I53" i="4"/>
  <c r="J53" i="4" s="1"/>
  <c r="S32" i="4"/>
  <c r="T32" i="4" s="1"/>
  <c r="S21" i="4"/>
  <c r="T21" i="4" s="1"/>
  <c r="D19" i="4"/>
  <c r="E19" i="4" s="1"/>
  <c r="D31" i="4"/>
  <c r="E31" i="4" s="1"/>
  <c r="D55" i="7"/>
  <c r="E55" i="7" s="1"/>
  <c r="N23" i="7"/>
  <c r="O23" i="7" s="1"/>
  <c r="S31" i="7"/>
  <c r="T31" i="7" s="1"/>
  <c r="D35" i="7"/>
  <c r="E35" i="7" s="1"/>
  <c r="D43" i="7"/>
  <c r="E43" i="7" s="1"/>
  <c r="S42" i="8"/>
  <c r="T42" i="8" s="1"/>
  <c r="S46" i="8"/>
  <c r="T46" i="8" s="1"/>
  <c r="D23" i="8"/>
  <c r="E23" i="8" s="1"/>
  <c r="D34" i="8"/>
  <c r="E34" i="8" s="1"/>
  <c r="S43" i="8"/>
  <c r="T43" i="8" s="1"/>
  <c r="D16" i="4"/>
  <c r="E16" i="4" s="1"/>
  <c r="D17" i="4"/>
  <c r="E17" i="4" s="1"/>
  <c r="D18" i="4"/>
  <c r="E18" i="4" s="1"/>
  <c r="D20" i="4"/>
  <c r="E20" i="4" s="1"/>
  <c r="D21" i="4"/>
  <c r="E21" i="4" s="1"/>
  <c r="D22" i="4"/>
  <c r="E22" i="4" s="1"/>
  <c r="D28" i="4"/>
  <c r="E28" i="4" s="1"/>
  <c r="D29" i="4"/>
  <c r="E29" i="4" s="1"/>
  <c r="D30" i="4"/>
  <c r="E30" i="4" s="1"/>
  <c r="D32" i="4"/>
  <c r="E32" i="4" s="1"/>
  <c r="D34" i="4"/>
  <c r="E34" i="4" s="1"/>
  <c r="D40" i="4"/>
  <c r="E40" i="4" s="1"/>
  <c r="D41" i="4"/>
  <c r="E41" i="4" s="1"/>
  <c r="D42" i="4"/>
  <c r="E42" i="4" s="1"/>
  <c r="D44" i="4"/>
  <c r="E44" i="4" s="1"/>
  <c r="D46" i="4"/>
  <c r="E46" i="4" s="1"/>
  <c r="D52" i="4"/>
  <c r="E52" i="4" s="1"/>
  <c r="D58" i="4"/>
  <c r="E58" i="4" s="1"/>
  <c r="D16" i="7"/>
  <c r="E16" i="7" s="1"/>
  <c r="D17" i="7"/>
  <c r="E17" i="7" s="1"/>
  <c r="D18" i="7"/>
  <c r="E18" i="7" s="1"/>
  <c r="D20" i="7"/>
  <c r="E20" i="7" s="1"/>
  <c r="D28" i="7"/>
  <c r="D29" i="7"/>
  <c r="E29" i="7" s="1"/>
  <c r="D30" i="7"/>
  <c r="E30" i="7" s="1"/>
  <c r="D32" i="7"/>
  <c r="E32" i="7" s="1"/>
  <c r="D40" i="7"/>
  <c r="E40" i="7" s="1"/>
  <c r="D41" i="7"/>
  <c r="E41" i="7" s="1"/>
  <c r="D42" i="7"/>
  <c r="E42" i="7" s="1"/>
  <c r="D44" i="7"/>
  <c r="E44" i="7" s="1"/>
  <c r="D46" i="7"/>
  <c r="E46" i="7" s="1"/>
  <c r="D52" i="7"/>
  <c r="E52" i="7" s="1"/>
  <c r="D54" i="7"/>
  <c r="E54" i="7" s="1"/>
  <c r="D58" i="7"/>
  <c r="E58" i="7" s="1"/>
  <c r="D16" i="8"/>
  <c r="E16" i="8" s="1"/>
  <c r="D17" i="8"/>
  <c r="E17" i="8" s="1"/>
  <c r="D18" i="8"/>
  <c r="E18" i="8" s="1"/>
  <c r="D20" i="8"/>
  <c r="E20" i="8" s="1"/>
  <c r="D21" i="8"/>
  <c r="E21" i="8" s="1"/>
  <c r="D28" i="8"/>
  <c r="E28" i="8" s="1"/>
  <c r="D29" i="8"/>
  <c r="E29" i="8" s="1"/>
  <c r="D30" i="8"/>
  <c r="E30" i="8" s="1"/>
  <c r="D32" i="8"/>
  <c r="E32" i="8" s="1"/>
  <c r="D40" i="8"/>
  <c r="E40" i="8" s="1"/>
  <c r="D41" i="8"/>
  <c r="E41" i="8" s="1"/>
  <c r="D42" i="8"/>
  <c r="E42" i="8" s="1"/>
  <c r="D52" i="8"/>
  <c r="E52" i="8" s="1"/>
  <c r="D54" i="8"/>
  <c r="E54" i="8" s="1"/>
  <c r="D58" i="8"/>
  <c r="E58" i="8" s="1"/>
  <c r="I55" i="3"/>
  <c r="J55" i="3" s="1"/>
  <c r="I59" i="3"/>
  <c r="J59" i="3" s="1"/>
  <c r="D23" i="3"/>
  <c r="E23" i="3" s="1"/>
  <c r="S30" i="3"/>
  <c r="T30" i="3" s="1"/>
  <c r="S46" i="3"/>
  <c r="T46" i="3" s="1"/>
  <c r="D47" i="3"/>
  <c r="E47" i="3" s="1"/>
  <c r="I16" i="4"/>
  <c r="J16" i="4" s="1"/>
  <c r="I17" i="4"/>
  <c r="J17" i="4" s="1"/>
  <c r="I18" i="4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8" i="4"/>
  <c r="J28" i="4" s="1"/>
  <c r="I29" i="4"/>
  <c r="J29" i="4" s="1"/>
  <c r="I30" i="4"/>
  <c r="J30" i="4" s="1"/>
  <c r="I31" i="4"/>
  <c r="J31" i="4" s="1"/>
  <c r="I32" i="4"/>
  <c r="J32" i="4" s="1"/>
  <c r="I34" i="4"/>
  <c r="J34" i="4" s="1"/>
  <c r="I35" i="4"/>
  <c r="J35" i="4" s="1"/>
  <c r="I40" i="4"/>
  <c r="J40" i="4" s="1"/>
  <c r="I41" i="4"/>
  <c r="J41" i="4" s="1"/>
  <c r="I42" i="4"/>
  <c r="J42" i="4" s="1"/>
  <c r="I43" i="4"/>
  <c r="J43" i="4" s="1"/>
  <c r="I44" i="4"/>
  <c r="J44" i="4" s="1"/>
  <c r="I46" i="4"/>
  <c r="J46" i="4" s="1"/>
  <c r="I47" i="4"/>
  <c r="J47" i="4" s="1"/>
  <c r="I52" i="4"/>
  <c r="J52" i="4" s="1"/>
  <c r="I54" i="4"/>
  <c r="J54" i="4" s="1"/>
  <c r="I56" i="4"/>
  <c r="J56" i="4" s="1"/>
  <c r="J60" i="4" s="1"/>
  <c r="M16" i="11" s="1"/>
  <c r="I58" i="4"/>
  <c r="J58" i="4" s="1"/>
  <c r="I16" i="7"/>
  <c r="J16" i="7" s="1"/>
  <c r="I17" i="7"/>
  <c r="J17" i="7" s="1"/>
  <c r="I18" i="7"/>
  <c r="J18" i="7" s="1"/>
  <c r="I19" i="7"/>
  <c r="J19" i="7" s="1"/>
  <c r="I20" i="7"/>
  <c r="J20" i="7" s="1"/>
  <c r="I22" i="7"/>
  <c r="J22" i="7" s="1"/>
  <c r="I28" i="7"/>
  <c r="J28" i="7" s="1"/>
  <c r="I29" i="7"/>
  <c r="J29" i="7" s="1"/>
  <c r="I30" i="7"/>
  <c r="J30" i="7" s="1"/>
  <c r="I31" i="7"/>
  <c r="J31" i="7" s="1"/>
  <c r="I32" i="7"/>
  <c r="J32" i="7" s="1"/>
  <c r="I40" i="7"/>
  <c r="J40" i="7" s="1"/>
  <c r="I41" i="7"/>
  <c r="J41" i="7" s="1"/>
  <c r="I42" i="7"/>
  <c r="J42" i="7" s="1"/>
  <c r="I43" i="7"/>
  <c r="J43" i="7" s="1"/>
  <c r="I44" i="7"/>
  <c r="J44" i="7" s="1"/>
  <c r="I46" i="7"/>
  <c r="J46" i="7" s="1"/>
  <c r="I52" i="7"/>
  <c r="J52" i="7" s="1"/>
  <c r="I54" i="7"/>
  <c r="J54" i="7" s="1"/>
  <c r="I58" i="7"/>
  <c r="J58" i="7" s="1"/>
  <c r="I16" i="8"/>
  <c r="J16" i="8" s="1"/>
  <c r="I17" i="8"/>
  <c r="J17" i="8" s="1"/>
  <c r="I18" i="8"/>
  <c r="J18" i="8" s="1"/>
  <c r="I19" i="8"/>
  <c r="J19" i="8" s="1"/>
  <c r="I20" i="8"/>
  <c r="J20" i="8" s="1"/>
  <c r="I21" i="8"/>
  <c r="J21" i="8" s="1"/>
  <c r="I22" i="8"/>
  <c r="J22" i="8" s="1"/>
  <c r="I23" i="8"/>
  <c r="J23" i="8" s="1"/>
  <c r="I28" i="8"/>
  <c r="J28" i="8" s="1"/>
  <c r="I29" i="8"/>
  <c r="J29" i="8" s="1"/>
  <c r="I30" i="8"/>
  <c r="J30" i="8" s="1"/>
  <c r="I32" i="8"/>
  <c r="J32" i="8" s="1"/>
  <c r="I34" i="8"/>
  <c r="J34" i="8" s="1"/>
  <c r="I40" i="8"/>
  <c r="J40" i="8" s="1"/>
  <c r="I41" i="8"/>
  <c r="J41" i="8" s="1"/>
  <c r="I42" i="8"/>
  <c r="J42" i="8" s="1"/>
  <c r="I43" i="8"/>
  <c r="J43" i="8" s="1"/>
  <c r="I46" i="8"/>
  <c r="J46" i="8" s="1"/>
  <c r="I52" i="8"/>
  <c r="J52" i="8" s="1"/>
  <c r="I54" i="8"/>
  <c r="J54" i="8" s="1"/>
  <c r="I58" i="8"/>
  <c r="J58" i="8" s="1"/>
  <c r="D19" i="3"/>
  <c r="E19" i="3" s="1"/>
  <c r="D46" i="3"/>
  <c r="E46" i="3" s="1"/>
  <c r="D52" i="3"/>
  <c r="E52" i="3" s="1"/>
  <c r="I53" i="3"/>
  <c r="J53" i="3" s="1"/>
  <c r="D56" i="3"/>
  <c r="E56" i="3" s="1"/>
  <c r="D21" i="3"/>
  <c r="E21" i="3" s="1"/>
  <c r="D18" i="3"/>
  <c r="E18" i="3" s="1"/>
  <c r="D31" i="3"/>
  <c r="E31" i="3" s="1"/>
  <c r="D35" i="3"/>
  <c r="E35" i="3" s="1"/>
  <c r="D43" i="3"/>
  <c r="E43" i="3" s="1"/>
  <c r="N16" i="4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8" i="4"/>
  <c r="N29" i="4"/>
  <c r="O29" i="4" s="1"/>
  <c r="N30" i="4"/>
  <c r="O30" i="4" s="1"/>
  <c r="N31" i="4"/>
  <c r="O31" i="4" s="1"/>
  <c r="N32" i="4"/>
  <c r="O32" i="4" s="1"/>
  <c r="N34" i="4"/>
  <c r="O34" i="4" s="1"/>
  <c r="N41" i="4"/>
  <c r="O41" i="4" s="1"/>
  <c r="N43" i="4"/>
  <c r="O43" i="4" s="1"/>
  <c r="N46" i="4"/>
  <c r="O46" i="4" s="1"/>
  <c r="D53" i="4"/>
  <c r="E53" i="4" s="1"/>
  <c r="N16" i="7"/>
  <c r="O16" i="7" s="1"/>
  <c r="N17" i="7"/>
  <c r="O17" i="7" s="1"/>
  <c r="N18" i="7"/>
  <c r="O18" i="7" s="1"/>
  <c r="N19" i="7"/>
  <c r="O19" i="7" s="1"/>
  <c r="N20" i="7"/>
  <c r="O20" i="7" s="1"/>
  <c r="N28" i="7"/>
  <c r="O28" i="7" s="1"/>
  <c r="N29" i="7"/>
  <c r="O29" i="7" s="1"/>
  <c r="N30" i="7"/>
  <c r="O30" i="7" s="1"/>
  <c r="N31" i="7"/>
  <c r="O31" i="7" s="1"/>
  <c r="N32" i="7"/>
  <c r="O32" i="7" s="1"/>
  <c r="N41" i="7"/>
  <c r="O41" i="7" s="1"/>
  <c r="N42" i="7"/>
  <c r="O42" i="7" s="1"/>
  <c r="N43" i="7"/>
  <c r="O43" i="7" s="1"/>
  <c r="N46" i="7"/>
  <c r="O46" i="7" s="1"/>
  <c r="D53" i="7"/>
  <c r="E53" i="7" s="1"/>
  <c r="N16" i="8"/>
  <c r="O16" i="8" s="1"/>
  <c r="N17" i="8"/>
  <c r="O17" i="8" s="1"/>
  <c r="N18" i="8"/>
  <c r="O18" i="8" s="1"/>
  <c r="N19" i="8"/>
  <c r="O19" i="8" s="1"/>
  <c r="N20" i="8"/>
  <c r="O20" i="8" s="1"/>
  <c r="N21" i="8"/>
  <c r="O21" i="8" s="1"/>
  <c r="N22" i="8"/>
  <c r="O22" i="8" s="1"/>
  <c r="N23" i="8"/>
  <c r="O23" i="8" s="1"/>
  <c r="N28" i="8"/>
  <c r="O28" i="8" s="1"/>
  <c r="N29" i="8"/>
  <c r="O29" i="8" s="1"/>
  <c r="N30" i="8"/>
  <c r="O30" i="8" s="1"/>
  <c r="N31" i="8"/>
  <c r="O31" i="8" s="1"/>
  <c r="N34" i="8"/>
  <c r="O34" i="8" s="1"/>
  <c r="N41" i="8"/>
  <c r="O41" i="8" s="1"/>
  <c r="N42" i="8"/>
  <c r="O42" i="8" s="1"/>
  <c r="N43" i="8"/>
  <c r="O43" i="8" s="1"/>
  <c r="N46" i="8"/>
  <c r="O46" i="8" s="1"/>
  <c r="D53" i="8"/>
  <c r="E53" i="8" s="1"/>
  <c r="S16" i="4"/>
  <c r="T16" i="4" s="1"/>
  <c r="S17" i="4"/>
  <c r="T17" i="4" s="1"/>
  <c r="S18" i="4"/>
  <c r="T18" i="4" s="1"/>
  <c r="S20" i="4"/>
  <c r="T20" i="4" s="1"/>
  <c r="S22" i="4"/>
  <c r="T22" i="4" s="1"/>
  <c r="S28" i="4"/>
  <c r="T28" i="4" s="1"/>
  <c r="S29" i="4"/>
  <c r="T29" i="4" s="1"/>
  <c r="S30" i="4"/>
  <c r="T30" i="4" s="1"/>
  <c r="S34" i="4"/>
  <c r="T34" i="4" s="1"/>
  <c r="S41" i="4"/>
  <c r="T41" i="4" s="1"/>
  <c r="S16" i="7"/>
  <c r="T16" i="7" s="1"/>
  <c r="S17" i="7"/>
  <c r="T17" i="7" s="1"/>
  <c r="S18" i="7"/>
  <c r="T18" i="7" s="1"/>
  <c r="S20" i="7"/>
  <c r="T20" i="7" s="1"/>
  <c r="S22" i="7"/>
  <c r="T22" i="7" s="1"/>
  <c r="S28" i="7"/>
  <c r="T28" i="7" s="1"/>
  <c r="S29" i="7"/>
  <c r="T29" i="7" s="1"/>
  <c r="S30" i="7"/>
  <c r="T30" i="7" s="1"/>
  <c r="S32" i="7"/>
  <c r="T32" i="7" s="1"/>
  <c r="S34" i="7"/>
  <c r="T34" i="7" s="1"/>
  <c r="S41" i="7"/>
  <c r="T41" i="7" s="1"/>
  <c r="S16" i="8"/>
  <c r="T16" i="8" s="1"/>
  <c r="S17" i="8"/>
  <c r="T17" i="8" s="1"/>
  <c r="S18" i="8"/>
  <c r="T18" i="8" s="1"/>
  <c r="S20" i="8"/>
  <c r="T20" i="8" s="1"/>
  <c r="S22" i="8"/>
  <c r="T22" i="8" s="1"/>
  <c r="S28" i="8"/>
  <c r="T28" i="8" s="1"/>
  <c r="S29" i="8"/>
  <c r="T29" i="8" s="1"/>
  <c r="S30" i="8"/>
  <c r="T30" i="8" s="1"/>
  <c r="S34" i="8"/>
  <c r="T34" i="8" s="1"/>
  <c r="S41" i="8"/>
  <c r="T41" i="8" s="1"/>
  <c r="D16" i="3"/>
  <c r="D17" i="3"/>
  <c r="E17" i="3" s="1"/>
  <c r="I16" i="3"/>
  <c r="J16" i="3" s="1"/>
  <c r="I17" i="3"/>
  <c r="J17" i="3" s="1"/>
  <c r="I18" i="3"/>
  <c r="J18" i="3" s="1"/>
  <c r="I19" i="3"/>
  <c r="J19" i="3" s="1"/>
  <c r="I20" i="3"/>
  <c r="J20" i="3" s="1"/>
  <c r="I21" i="3"/>
  <c r="J21" i="3" s="1"/>
  <c r="I22" i="3"/>
  <c r="J22" i="3" s="1"/>
  <c r="I23" i="3"/>
  <c r="J23" i="3" s="1"/>
  <c r="I28" i="3"/>
  <c r="J28" i="3" s="1"/>
  <c r="I29" i="3"/>
  <c r="J29" i="3" s="1"/>
  <c r="I30" i="3"/>
  <c r="J30" i="3" s="1"/>
  <c r="I31" i="3"/>
  <c r="J31" i="3" s="1"/>
  <c r="I32" i="3"/>
  <c r="J32" i="3" s="1"/>
  <c r="I40" i="3"/>
  <c r="J40" i="3" s="1"/>
  <c r="I41" i="3"/>
  <c r="J41" i="3" s="1"/>
  <c r="I43" i="3"/>
  <c r="J43" i="3" s="1"/>
  <c r="I44" i="3"/>
  <c r="J44" i="3" s="1"/>
  <c r="I46" i="3"/>
  <c r="J46" i="3" s="1"/>
  <c r="I47" i="3"/>
  <c r="J47" i="3" s="1"/>
  <c r="I52" i="3"/>
  <c r="J52" i="3" s="1"/>
  <c r="I56" i="3"/>
  <c r="J56" i="3" s="1"/>
  <c r="I58" i="3"/>
  <c r="J58" i="3" s="1"/>
  <c r="D20" i="3"/>
  <c r="E20" i="3" s="1"/>
  <c r="D28" i="3"/>
  <c r="D29" i="3"/>
  <c r="E29" i="3" s="1"/>
  <c r="D32" i="3"/>
  <c r="E32" i="3" s="1"/>
  <c r="D41" i="3"/>
  <c r="E41" i="3" s="1"/>
  <c r="D44" i="3"/>
  <c r="E44" i="3" s="1"/>
  <c r="N16" i="3"/>
  <c r="O16" i="3" s="1"/>
  <c r="N17" i="3"/>
  <c r="O17" i="3" s="1"/>
  <c r="N19" i="3"/>
  <c r="O19" i="3" s="1"/>
  <c r="N20" i="3"/>
  <c r="O20" i="3" s="1"/>
  <c r="N22" i="3"/>
  <c r="O22" i="3" s="1"/>
  <c r="N23" i="3"/>
  <c r="O23" i="3" s="1"/>
  <c r="N28" i="3"/>
  <c r="O28" i="3" s="1"/>
  <c r="N29" i="3"/>
  <c r="O29" i="3" s="1"/>
  <c r="N30" i="3"/>
  <c r="O30" i="3" s="1"/>
  <c r="N31" i="3"/>
  <c r="O31" i="3" s="1"/>
  <c r="N32" i="3"/>
  <c r="O32" i="3" s="1"/>
  <c r="N40" i="3"/>
  <c r="O40" i="3" s="1"/>
  <c r="N41" i="3"/>
  <c r="O41" i="3" s="1"/>
  <c r="N43" i="3"/>
  <c r="O43" i="3" s="1"/>
  <c r="N46" i="3"/>
  <c r="O46" i="3" s="1"/>
  <c r="N47" i="3"/>
  <c r="O47" i="3" s="1"/>
  <c r="D53" i="3"/>
  <c r="E53" i="3" s="1"/>
  <c r="D55" i="3"/>
  <c r="E55" i="3" s="1"/>
  <c r="D59" i="3"/>
  <c r="E59" i="3" s="1"/>
  <c r="D40" i="3"/>
  <c r="E40" i="3" s="1"/>
  <c r="S16" i="3"/>
  <c r="T16" i="3" s="1"/>
  <c r="S17" i="3"/>
  <c r="T17" i="3" s="1"/>
  <c r="S18" i="3"/>
  <c r="T18" i="3" s="1"/>
  <c r="S19" i="3"/>
  <c r="T19" i="3" s="1"/>
  <c r="S20" i="3"/>
  <c r="T20" i="3" s="1"/>
  <c r="S22" i="3"/>
  <c r="T22" i="3" s="1"/>
  <c r="S23" i="3"/>
  <c r="T23" i="3" s="1"/>
  <c r="S28" i="3"/>
  <c r="T28" i="3" s="1"/>
  <c r="S29" i="3"/>
  <c r="T29" i="3" s="1"/>
  <c r="S31" i="3"/>
  <c r="T31" i="3" s="1"/>
  <c r="S32" i="3"/>
  <c r="T32" i="3" s="1"/>
  <c r="S34" i="3"/>
  <c r="T34" i="3" s="1"/>
  <c r="S41" i="3"/>
  <c r="T41" i="3" s="1"/>
  <c r="S43" i="3"/>
  <c r="T43" i="3" s="1"/>
  <c r="O16" i="4"/>
  <c r="E28" i="3"/>
  <c r="B13" i="1"/>
  <c r="B9" i="1" s="1"/>
  <c r="O24" i="8" l="1"/>
  <c r="Q5" i="11" s="1"/>
  <c r="I36" i="7"/>
  <c r="O24" i="4"/>
  <c r="M5" i="11" s="1"/>
  <c r="S48" i="8"/>
  <c r="D48" i="3"/>
  <c r="O24" i="7"/>
  <c r="P5" i="11" s="1"/>
  <c r="O48" i="4"/>
  <c r="M13" i="11" s="1"/>
  <c r="E60" i="4"/>
  <c r="M15" i="11" s="1"/>
  <c r="I24" i="7"/>
  <c r="S24" i="8"/>
  <c r="D48" i="8"/>
  <c r="T48" i="8"/>
  <c r="Q14" i="11" s="1"/>
  <c r="D24" i="8"/>
  <c r="T24" i="8"/>
  <c r="T48" i="4"/>
  <c r="T36" i="4"/>
  <c r="M10" i="11" s="1"/>
  <c r="E60" i="7"/>
  <c r="P15" i="11" s="1"/>
  <c r="O48" i="7"/>
  <c r="P13" i="11" s="1"/>
  <c r="N36" i="4"/>
  <c r="N24" i="4"/>
  <c r="E60" i="3"/>
  <c r="L15" i="11" s="1"/>
  <c r="J48" i="4"/>
  <c r="M12" i="11" s="1"/>
  <c r="J60" i="3"/>
  <c r="L16" i="11" s="1"/>
  <c r="E60" i="8"/>
  <c r="Q15" i="11" s="1"/>
  <c r="E24" i="8"/>
  <c r="Q3" i="11" s="1"/>
  <c r="D36" i="7"/>
  <c r="E24" i="7"/>
  <c r="P3" i="11" s="1"/>
  <c r="E36" i="4"/>
  <c r="M7" i="11" s="1"/>
  <c r="I60" i="4"/>
  <c r="D60" i="4"/>
  <c r="I60" i="7"/>
  <c r="I36" i="4"/>
  <c r="D48" i="4"/>
  <c r="S48" i="7"/>
  <c r="N36" i="7"/>
  <c r="E48" i="3"/>
  <c r="L11" i="11" s="1"/>
  <c r="D24" i="3"/>
  <c r="T48" i="7"/>
  <c r="P14" i="11" s="1"/>
  <c r="E48" i="7"/>
  <c r="P11" i="11" s="1"/>
  <c r="N48" i="8"/>
  <c r="I48" i="3"/>
  <c r="E16" i="3"/>
  <c r="E24" i="3" s="1"/>
  <c r="S48" i="4"/>
  <c r="S24" i="4"/>
  <c r="E24" i="4"/>
  <c r="M3" i="11" s="1"/>
  <c r="D36" i="4"/>
  <c r="S24" i="7"/>
  <c r="D60" i="7"/>
  <c r="D24" i="7"/>
  <c r="I48" i="8"/>
  <c r="I24" i="8"/>
  <c r="D60" i="8"/>
  <c r="T24" i="4"/>
  <c r="O36" i="7"/>
  <c r="P9" i="11" s="1"/>
  <c r="J60" i="8"/>
  <c r="J36" i="7"/>
  <c r="P8" i="11" s="1"/>
  <c r="N48" i="7"/>
  <c r="O48" i="8"/>
  <c r="Q13" i="11" s="1"/>
  <c r="D26" i="11"/>
  <c r="J24" i="3"/>
  <c r="L4" i="11" s="1"/>
  <c r="T36" i="7"/>
  <c r="P10" i="11" s="1"/>
  <c r="N24" i="7"/>
  <c r="J48" i="8"/>
  <c r="Q12" i="11" s="1"/>
  <c r="J60" i="7"/>
  <c r="T36" i="3"/>
  <c r="L10" i="11" s="1"/>
  <c r="J48" i="7"/>
  <c r="P12" i="11" s="1"/>
  <c r="I24" i="3"/>
  <c r="D60" i="3"/>
  <c r="I48" i="4"/>
  <c r="I24" i="4"/>
  <c r="I48" i="7"/>
  <c r="S36" i="8"/>
  <c r="S36" i="4"/>
  <c r="O28" i="4"/>
  <c r="O36" i="4" s="1"/>
  <c r="M9" i="11" s="1"/>
  <c r="N48" i="4"/>
  <c r="S36" i="7"/>
  <c r="E28" i="7"/>
  <c r="E36" i="7" s="1"/>
  <c r="P7" i="11" s="1"/>
  <c r="D48" i="7"/>
  <c r="I60" i="8"/>
  <c r="I36" i="8"/>
  <c r="O36" i="8"/>
  <c r="Q9" i="11" s="1"/>
  <c r="D36" i="8"/>
  <c r="T48" i="3"/>
  <c r="L14" i="11" s="1"/>
  <c r="D24" i="4"/>
  <c r="T36" i="8"/>
  <c r="Q10" i="11" s="1"/>
  <c r="T24" i="7"/>
  <c r="N36" i="8"/>
  <c r="N24" i="8"/>
  <c r="J36" i="8"/>
  <c r="Q8" i="11" s="1"/>
  <c r="J24" i="8"/>
  <c r="Q4" i="11" s="1"/>
  <c r="J24" i="7"/>
  <c r="P4" i="11" s="1"/>
  <c r="J36" i="4"/>
  <c r="J24" i="4"/>
  <c r="M4" i="11" s="1"/>
  <c r="E48" i="8"/>
  <c r="Q11" i="11" s="1"/>
  <c r="E36" i="8"/>
  <c r="Q7" i="11" s="1"/>
  <c r="E48" i="4"/>
  <c r="S36" i="3"/>
  <c r="N48" i="3"/>
  <c r="T24" i="3"/>
  <c r="L6" i="11" s="1"/>
  <c r="O24" i="3"/>
  <c r="L5" i="11" s="1"/>
  <c r="D36" i="3"/>
  <c r="J36" i="3"/>
  <c r="L8" i="11" s="1"/>
  <c r="I36" i="3"/>
  <c r="N36" i="3"/>
  <c r="O48" i="3"/>
  <c r="I60" i="3"/>
  <c r="E36" i="3"/>
  <c r="L7" i="11" s="1"/>
  <c r="S48" i="3"/>
  <c r="S24" i="3"/>
  <c r="N24" i="3"/>
  <c r="O36" i="3"/>
  <c r="L9" i="11" s="1"/>
  <c r="J48" i="3"/>
  <c r="B11" i="1"/>
  <c r="G26" i="11" l="1"/>
  <c r="P16" i="11"/>
  <c r="L23" i="11"/>
  <c r="L32" i="11"/>
  <c r="M29" i="11"/>
  <c r="M20" i="11"/>
  <c r="M35" i="11"/>
  <c r="M26" i="11"/>
  <c r="L31" i="11"/>
  <c r="L22" i="11"/>
  <c r="Q33" i="11"/>
  <c r="Q24" i="11"/>
  <c r="P29" i="11"/>
  <c r="P20" i="11"/>
  <c r="D24" i="11"/>
  <c r="M11" i="11"/>
  <c r="H21" i="11"/>
  <c r="Q6" i="11"/>
  <c r="Q21" i="11" s="1"/>
  <c r="M23" i="11"/>
  <c r="M32" i="11"/>
  <c r="L35" i="11"/>
  <c r="L26" i="11"/>
  <c r="P31" i="11"/>
  <c r="P22" i="11"/>
  <c r="D22" i="11"/>
  <c r="M8" i="11"/>
  <c r="M31" i="11" s="1"/>
  <c r="L29" i="11"/>
  <c r="L20" i="11"/>
  <c r="C25" i="11"/>
  <c r="L13" i="11"/>
  <c r="P33" i="11"/>
  <c r="P24" i="11"/>
  <c r="G21" i="11"/>
  <c r="P6" i="11"/>
  <c r="P21" i="11" s="1"/>
  <c r="D25" i="11"/>
  <c r="M14" i="11"/>
  <c r="M34" i="11" s="1"/>
  <c r="H26" i="11"/>
  <c r="Q16" i="11"/>
  <c r="Q26" i="11" s="1"/>
  <c r="C24" i="11"/>
  <c r="L12" i="11"/>
  <c r="L33" i="11" s="1"/>
  <c r="Q29" i="11"/>
  <c r="Q20" i="11"/>
  <c r="P23" i="11"/>
  <c r="P32" i="11"/>
  <c r="D21" i="11"/>
  <c r="M6" i="11"/>
  <c r="M21" i="11" s="1"/>
  <c r="L21" i="11"/>
  <c r="L30" i="11"/>
  <c r="P25" i="11"/>
  <c r="P34" i="11"/>
  <c r="Q31" i="11"/>
  <c r="Q22" i="11"/>
  <c r="Q34" i="11"/>
  <c r="Q25" i="11"/>
  <c r="Q23" i="11"/>
  <c r="Q32" i="11"/>
  <c r="P26" i="11"/>
  <c r="P35" i="11"/>
  <c r="D23" i="11"/>
  <c r="H24" i="11"/>
  <c r="H20" i="11"/>
  <c r="C21" i="11"/>
  <c r="G25" i="11"/>
  <c r="H22" i="11"/>
  <c r="G20" i="11"/>
  <c r="G24" i="11"/>
  <c r="C26" i="11"/>
  <c r="H25" i="11"/>
  <c r="G23" i="11"/>
  <c r="H23" i="11"/>
  <c r="G22" i="11"/>
  <c r="C20" i="11"/>
  <c r="C23" i="11"/>
  <c r="C22" i="11"/>
  <c r="D20" i="11"/>
  <c r="N7" i="1"/>
  <c r="O7" i="1" s="1"/>
  <c r="N8" i="1"/>
  <c r="O8" i="1" s="1"/>
  <c r="N6" i="1"/>
  <c r="O6" i="1" s="1"/>
  <c r="I6" i="1"/>
  <c r="I8" i="1"/>
  <c r="I7" i="1"/>
  <c r="M22" i="11" l="1"/>
  <c r="M30" i="11"/>
  <c r="M25" i="11"/>
  <c r="L24" i="11"/>
  <c r="Q30" i="11"/>
  <c r="P30" i="11"/>
  <c r="Q35" i="11"/>
  <c r="M33" i="11"/>
  <c r="M24" i="11"/>
  <c r="L34" i="11"/>
  <c r="L25" i="11"/>
  <c r="P6" i="1"/>
  <c r="S6" i="1" s="1"/>
  <c r="K6" i="1"/>
  <c r="L6" i="1"/>
  <c r="P7" i="1"/>
  <c r="S7" i="1" s="1"/>
  <c r="L7" i="1"/>
  <c r="K7" i="1"/>
  <c r="P8" i="1"/>
  <c r="S8" i="1" s="1"/>
  <c r="L8" i="1"/>
  <c r="K8" i="1"/>
  <c r="J6" i="1"/>
  <c r="J8" i="1"/>
  <c r="O9" i="1"/>
  <c r="J7" i="1"/>
  <c r="M6" i="1" l="1"/>
  <c r="M7" i="1"/>
  <c r="Q7" i="1"/>
  <c r="M8" i="1"/>
  <c r="Q8" i="1"/>
  <c r="J9" i="1"/>
  <c r="Q6" i="1"/>
  <c r="R6" i="1" l="1"/>
  <c r="T6" i="1"/>
  <c r="L19" i="12" s="1"/>
  <c r="R8" i="1"/>
  <c r="T8" i="1"/>
  <c r="L21" i="12" s="1"/>
  <c r="R7" i="1"/>
  <c r="T7" i="1"/>
  <c r="L20" i="12" s="1"/>
  <c r="R9" i="1" l="1"/>
</calcChain>
</file>

<file path=xl/sharedStrings.xml><?xml version="1.0" encoding="utf-8"?>
<sst xmlns="http://schemas.openxmlformats.org/spreadsheetml/2006/main" count="1218" uniqueCount="130">
  <si>
    <t>S/I ratio (gTS/gTS)</t>
  </si>
  <si>
    <t>TS digestate</t>
  </si>
  <si>
    <t>VS digestate</t>
  </si>
  <si>
    <t>VS ORS</t>
  </si>
  <si>
    <t>TS ORS</t>
  </si>
  <si>
    <t>T (°C)</t>
  </si>
  <si>
    <t>Replicas</t>
  </si>
  <si>
    <t>TS</t>
  </si>
  <si>
    <t>V reactor (mL)</t>
  </si>
  <si>
    <t>ORS (g)</t>
  </si>
  <si>
    <t>Total ORS (g)</t>
  </si>
  <si>
    <t>H2O (mL)</t>
  </si>
  <si>
    <t>Inoc (g)</t>
  </si>
  <si>
    <t xml:space="preserve">Total </t>
  </si>
  <si>
    <t>TOTAL</t>
  </si>
  <si>
    <t>A</t>
  </si>
  <si>
    <t>B</t>
  </si>
  <si>
    <t>C</t>
  </si>
  <si>
    <t>C/N ORS</t>
  </si>
  <si>
    <t>Urea MW (g/mol)</t>
  </si>
  <si>
    <t>Urea (g)</t>
  </si>
  <si>
    <t>C/N ratio</t>
  </si>
  <si>
    <t>Urea N content (g/mol)</t>
  </si>
  <si>
    <t>N extra(g)</t>
  </si>
  <si>
    <t>total urea (g)</t>
  </si>
  <si>
    <t>Total Inoc (g)</t>
  </si>
  <si>
    <t>C% ORS</t>
  </si>
  <si>
    <t>N% ORS</t>
  </si>
  <si>
    <t>max NH4 g/L</t>
  </si>
  <si>
    <t>50g/L solution</t>
  </si>
  <si>
    <t>Reactor/time (day)</t>
  </si>
  <si>
    <t>A1</t>
  </si>
  <si>
    <t>A2</t>
  </si>
  <si>
    <t>A3</t>
  </si>
  <si>
    <t>A4</t>
  </si>
  <si>
    <t>B1</t>
  </si>
  <si>
    <t>B2</t>
  </si>
  <si>
    <t>B3</t>
  </si>
  <si>
    <t>B4</t>
  </si>
  <si>
    <t>C1</t>
  </si>
  <si>
    <t>C2</t>
  </si>
  <si>
    <t>C3</t>
  </si>
  <si>
    <t>C4</t>
  </si>
  <si>
    <t>O1</t>
  </si>
  <si>
    <t>O2</t>
  </si>
  <si>
    <t>AVERAGE</t>
  </si>
  <si>
    <t>Control</t>
  </si>
  <si>
    <t>STANDARDS</t>
  </si>
  <si>
    <t xml:space="preserve">50 ppm </t>
  </si>
  <si>
    <t xml:space="preserve">250 ppm </t>
  </si>
  <si>
    <t xml:space="preserve">500 ppm </t>
  </si>
  <si>
    <t>Compound</t>
  </si>
  <si>
    <t xml:space="preserve">RT </t>
  </si>
  <si>
    <t>area</t>
  </si>
  <si>
    <t>actual ppm</t>
  </si>
  <si>
    <t>R2</t>
  </si>
  <si>
    <t>AcH</t>
  </si>
  <si>
    <t>PrH</t>
  </si>
  <si>
    <t>i-BuH</t>
  </si>
  <si>
    <t>BuH</t>
  </si>
  <si>
    <t>i-VaH</t>
  </si>
  <si>
    <t>VaH</t>
  </si>
  <si>
    <t>HexH</t>
  </si>
  <si>
    <t>HepH</t>
  </si>
  <si>
    <t xml:space="preserve">Sample </t>
  </si>
  <si>
    <t xml:space="preserve">area </t>
  </si>
  <si>
    <t>dil factor</t>
  </si>
  <si>
    <t>ppm</t>
  </si>
  <si>
    <t>g COD/L</t>
  </si>
  <si>
    <t>TOTAL=</t>
  </si>
  <si>
    <t>Reactor/time (days)</t>
  </si>
  <si>
    <t xml:space="preserve">AVERAGE </t>
  </si>
  <si>
    <t>H2SO4 Factor</t>
  </si>
  <si>
    <t>Titration</t>
  </si>
  <si>
    <t>std factor</t>
  </si>
  <si>
    <t>sample</t>
  </si>
  <si>
    <t>V (mL)</t>
  </si>
  <si>
    <t>mL H2SO4</t>
  </si>
  <si>
    <t>mg N/L</t>
  </si>
  <si>
    <t>mg NH4/L</t>
  </si>
  <si>
    <t>g NH4/L</t>
  </si>
  <si>
    <t>% loss</t>
  </si>
  <si>
    <t>blank</t>
  </si>
  <si>
    <t>Time  (days)</t>
  </si>
  <si>
    <t>std</t>
  </si>
  <si>
    <t>Reactor</t>
  </si>
  <si>
    <t>A1-2</t>
  </si>
  <si>
    <t>A1.7</t>
  </si>
  <si>
    <t>B1-2</t>
  </si>
  <si>
    <t>A2.7</t>
  </si>
  <si>
    <t>C1-2</t>
  </si>
  <si>
    <t>B1.7</t>
  </si>
  <si>
    <t>B2.7</t>
  </si>
  <si>
    <t>plus losses from analysis:</t>
  </si>
  <si>
    <t>C1.7</t>
  </si>
  <si>
    <t>C2.7</t>
  </si>
  <si>
    <t>O1.7</t>
  </si>
  <si>
    <t>O2.7</t>
  </si>
  <si>
    <t>ORS</t>
  </si>
  <si>
    <t>Inoc</t>
  </si>
  <si>
    <t>Crucible (g)</t>
  </si>
  <si>
    <t>sample (g)</t>
  </si>
  <si>
    <t>dry (g)</t>
  </si>
  <si>
    <t>burnt (g)</t>
  </si>
  <si>
    <t>TS (%)</t>
  </si>
  <si>
    <t>VS (%)</t>
  </si>
  <si>
    <t>VS/TS</t>
  </si>
  <si>
    <t>ORS(g)</t>
  </si>
  <si>
    <t>water (g)</t>
  </si>
  <si>
    <t>urea</t>
  </si>
  <si>
    <t>VS (g)</t>
  </si>
  <si>
    <t>VS%</t>
  </si>
  <si>
    <t>50 g/L</t>
  </si>
  <si>
    <t>TAN g/L</t>
  </si>
  <si>
    <t>Expected TAN g/L</t>
  </si>
  <si>
    <t>VFA yields g VFA/g VS</t>
  </si>
  <si>
    <t>VFA concentration g/L</t>
  </si>
  <si>
    <t>Complex A (mL)</t>
  </si>
  <si>
    <t>Amylase (mL)</t>
  </si>
  <si>
    <t>Complex A (g)</t>
  </si>
  <si>
    <t>Amylase (g)</t>
  </si>
  <si>
    <t>Measured values</t>
  </si>
  <si>
    <t>Design values</t>
  </si>
  <si>
    <t>day 7</t>
  </si>
  <si>
    <t>TAN release yield</t>
  </si>
  <si>
    <t>pH equivalent of A</t>
  </si>
  <si>
    <t>pH equivalent of B</t>
  </si>
  <si>
    <t>pH equivalent of C</t>
  </si>
  <si>
    <t>Condition</t>
  </si>
  <si>
    <t>Difference from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</si>
</sst>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6500"/>
      <name val="Arial"/>
      <family val="2"/>
    </font>
    <font>
      <sz val="12"/>
      <color rgb="FF3F3F76"/>
      <name val="Arial"/>
      <family val="2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3" applyNumberFormat="0" applyAlignment="0" applyProtection="0"/>
    <xf numFmtId="0" fontId="6" fillId="0" borderId="4" applyNumberFormat="0" applyFill="0" applyAlignment="0" applyProtection="0"/>
  </cellStyleXfs>
  <cellXfs count="57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/>
    <xf numFmtId="9" fontId="0" fillId="0" borderId="1" xfId="0" applyNumberFormat="1" applyBorder="1"/>
    <xf numFmtId="2" fontId="1" fillId="0" borderId="1" xfId="0" applyNumberFormat="1" applyFont="1" applyBorder="1"/>
    <xf numFmtId="0" fontId="0" fillId="0" borderId="1" xfId="0" applyFill="1" applyBorder="1"/>
    <xf numFmtId="2" fontId="0" fillId="0" borderId="1" xfId="0" applyNumberFormat="1" applyFill="1" applyBorder="1"/>
    <xf numFmtId="0" fontId="1" fillId="0" borderId="1" xfId="0" applyFont="1" applyFill="1" applyBorder="1"/>
    <xf numFmtId="0" fontId="1" fillId="0" borderId="2" xfId="0" applyFont="1" applyBorder="1"/>
    <xf numFmtId="9" fontId="0" fillId="0" borderId="1" xfId="1" applyNumberFormat="1" applyFont="1" applyBorder="1"/>
    <xf numFmtId="164" fontId="0" fillId="0" borderId="1" xfId="0" applyNumberFormat="1" applyBorder="1"/>
    <xf numFmtId="2" fontId="1" fillId="0" borderId="0" xfId="0" applyNumberFormat="1" applyFont="1" applyBorder="1"/>
    <xf numFmtId="0" fontId="4" fillId="3" borderId="3" xfId="3"/>
    <xf numFmtId="0" fontId="3" fillId="2" borderId="0" xfId="2"/>
    <xf numFmtId="0" fontId="1" fillId="0" borderId="0" xfId="0" applyFont="1" applyFill="1" applyBorder="1"/>
    <xf numFmtId="0" fontId="5" fillId="0" borderId="0" xfId="0" applyFont="1"/>
    <xf numFmtId="2" fontId="0" fillId="0" borderId="0" xfId="0" applyNumberFormat="1"/>
    <xf numFmtId="10" fontId="0" fillId="0" borderId="0" xfId="1" applyNumberFormat="1" applyFont="1"/>
    <xf numFmtId="9" fontId="0" fillId="0" borderId="0" xfId="1" applyFont="1"/>
    <xf numFmtId="10" fontId="0" fillId="0" borderId="1" xfId="1" applyNumberFormat="1" applyFont="1" applyBorder="1"/>
    <xf numFmtId="10" fontId="0" fillId="0" borderId="1" xfId="0" applyNumberFormat="1" applyBorder="1"/>
    <xf numFmtId="10" fontId="0" fillId="0" borderId="0" xfId="1" applyNumberFormat="1" applyFont="1" applyBorder="1"/>
    <xf numFmtId="165" fontId="0" fillId="0" borderId="1" xfId="0" applyNumberFormat="1" applyBorder="1"/>
    <xf numFmtId="0" fontId="1" fillId="4" borderId="1" xfId="0" applyFont="1" applyFill="1" applyBorder="1"/>
    <xf numFmtId="0" fontId="0" fillId="4" borderId="1" xfId="0" applyFill="1" applyBorder="1"/>
    <xf numFmtId="165" fontId="0" fillId="4" borderId="1" xfId="0" applyNumberFormat="1" applyFill="1" applyBorder="1"/>
    <xf numFmtId="0" fontId="1" fillId="5" borderId="1" xfId="0" applyFont="1" applyFill="1" applyBorder="1"/>
    <xf numFmtId="0" fontId="0" fillId="5" borderId="1" xfId="0" applyFill="1" applyBorder="1"/>
    <xf numFmtId="9" fontId="0" fillId="5" borderId="1" xfId="1" applyNumberFormat="1" applyFont="1" applyFill="1" applyBorder="1" applyAlignment="1">
      <alignment horizontal="left" indent="3"/>
    </xf>
    <xf numFmtId="0" fontId="6" fillId="0" borderId="4" xfId="4" applyAlignment="1">
      <alignment horizontal="center"/>
    </xf>
    <xf numFmtId="10" fontId="0" fillId="0" borderId="0" xfId="1" applyNumberFormat="1" applyFont="1" applyAlignment="1">
      <alignment horizontal="center" vertical="center"/>
    </xf>
    <xf numFmtId="0" fontId="0" fillId="0" borderId="6" xfId="0" applyBorder="1"/>
    <xf numFmtId="10" fontId="0" fillId="0" borderId="6" xfId="1" applyNumberFormat="1" applyFont="1" applyBorder="1"/>
    <xf numFmtId="10" fontId="0" fillId="0" borderId="6" xfId="0" applyNumberFormat="1" applyBorder="1"/>
    <xf numFmtId="0" fontId="0" fillId="0" borderId="10" xfId="0" applyBorder="1"/>
    <xf numFmtId="0" fontId="0" fillId="0" borderId="0" xfId="0" applyBorder="1"/>
    <xf numFmtId="10" fontId="0" fillId="0" borderId="11" xfId="1" applyNumberFormat="1" applyFont="1" applyBorder="1"/>
    <xf numFmtId="0" fontId="0" fillId="0" borderId="12" xfId="0" applyBorder="1"/>
    <xf numFmtId="0" fontId="0" fillId="0" borderId="13" xfId="0" applyBorder="1"/>
    <xf numFmtId="10" fontId="0" fillId="0" borderId="14" xfId="1" applyNumberFormat="1" applyFont="1" applyBorder="1"/>
    <xf numFmtId="0" fontId="0" fillId="0" borderId="15" xfId="0" applyBorder="1"/>
    <xf numFmtId="10" fontId="0" fillId="0" borderId="16" xfId="1" applyNumberFormat="1" applyFont="1" applyBorder="1"/>
    <xf numFmtId="10" fontId="0" fillId="0" borderId="17" xfId="1" applyNumberFormat="1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0" fillId="0" borderId="5" xfId="0" applyBorder="1"/>
    <xf numFmtId="0" fontId="1" fillId="0" borderId="10" xfId="0" applyFont="1" applyBorder="1"/>
    <xf numFmtId="165" fontId="0" fillId="0" borderId="0" xfId="0" applyNumberFormat="1" applyBorder="1"/>
    <xf numFmtId="0" fontId="0" fillId="0" borderId="11" xfId="0" applyBorder="1"/>
    <xf numFmtId="0" fontId="1" fillId="0" borderId="12" xfId="0" applyFont="1" applyBorder="1"/>
    <xf numFmtId="165" fontId="0" fillId="0" borderId="13" xfId="0" applyNumberFormat="1" applyBorder="1"/>
    <xf numFmtId="0" fontId="0" fillId="0" borderId="14" xfId="0" applyBorder="1"/>
    <xf numFmtId="2" fontId="1" fillId="0" borderId="8" xfId="0" applyNumberFormat="1" applyFont="1" applyBorder="1"/>
    <xf numFmtId="2" fontId="1" fillId="0" borderId="9" xfId="0" applyNumberFormat="1" applyFont="1" applyBorder="1"/>
  </cellXfs>
  <cellStyles count="5">
    <cellStyle name="Heading 1" xfId="4" builtinId="16"/>
    <cellStyle name="Input" xfId="3" builtinId="20"/>
    <cellStyle name="Neutral" xfId="2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pH!$A$20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pH!$B$19:$I$19</c:f>
              <c:numCache>
                <c:formatCode>0.00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pH!$B$20:$I$20</c:f>
              <c:numCache>
                <c:formatCode>General</c:formatCode>
                <c:ptCount val="8"/>
                <c:pt idx="0">
                  <c:v>3.94</c:v>
                </c:pt>
                <c:pt idx="1">
                  <c:v>3.855</c:v>
                </c:pt>
                <c:pt idx="2">
                  <c:v>3.895</c:v>
                </c:pt>
                <c:pt idx="3">
                  <c:v>3.835</c:v>
                </c:pt>
                <c:pt idx="4">
                  <c:v>3.86</c:v>
                </c:pt>
                <c:pt idx="5">
                  <c:v>3.915</c:v>
                </c:pt>
                <c:pt idx="6">
                  <c:v>3.9299999999999997</c:v>
                </c:pt>
                <c:pt idx="7">
                  <c:v>4.05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62-42E9-8552-54DB2EC9179A}"/>
            </c:ext>
          </c:extLst>
        </c:ser>
        <c:ser>
          <c:idx val="1"/>
          <c:order val="1"/>
          <c:tx>
            <c:strRef>
              <c:f>pH!$A$21</c:f>
              <c:strCache>
                <c:ptCount val="1"/>
                <c:pt idx="0">
                  <c:v>pH equivalent of 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pH!$B$19:$I$19</c:f>
              <c:numCache>
                <c:formatCode>0.00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pH!$B$21:$I$21</c:f>
              <c:numCache>
                <c:formatCode>General</c:formatCode>
                <c:ptCount val="8"/>
                <c:pt idx="0">
                  <c:v>3.8899999999999997</c:v>
                </c:pt>
                <c:pt idx="1">
                  <c:v>3.83</c:v>
                </c:pt>
                <c:pt idx="2">
                  <c:v>3.8600000000000003</c:v>
                </c:pt>
                <c:pt idx="3">
                  <c:v>3.79</c:v>
                </c:pt>
                <c:pt idx="4">
                  <c:v>3.82</c:v>
                </c:pt>
                <c:pt idx="5">
                  <c:v>3.855</c:v>
                </c:pt>
                <c:pt idx="6">
                  <c:v>3.875</c:v>
                </c:pt>
                <c:pt idx="7">
                  <c:v>4.0150000000000006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62-42E9-8552-54DB2EC9179A}"/>
            </c:ext>
          </c:extLst>
        </c:ser>
        <c:ser>
          <c:idx val="2"/>
          <c:order val="2"/>
          <c:tx>
            <c:strRef>
              <c:f>pH!$A$22</c:f>
              <c:strCache>
                <c:ptCount val="1"/>
                <c:pt idx="0">
                  <c:v>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pH!$B$19:$I$19</c:f>
              <c:numCache>
                <c:formatCode>0.00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pH!$B$22:$I$22</c:f>
              <c:numCache>
                <c:formatCode>General</c:formatCode>
                <c:ptCount val="8"/>
                <c:pt idx="0">
                  <c:v>3.8650000000000002</c:v>
                </c:pt>
                <c:pt idx="1">
                  <c:v>3.79</c:v>
                </c:pt>
                <c:pt idx="2">
                  <c:v>3.855</c:v>
                </c:pt>
                <c:pt idx="3">
                  <c:v>3.7450000000000001</c:v>
                </c:pt>
                <c:pt idx="4">
                  <c:v>3.7750000000000004</c:v>
                </c:pt>
                <c:pt idx="5">
                  <c:v>3.85</c:v>
                </c:pt>
                <c:pt idx="6">
                  <c:v>3.8250000000000002</c:v>
                </c:pt>
                <c:pt idx="7">
                  <c:v>3.97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62-42E9-8552-54DB2EC9179A}"/>
            </c:ext>
          </c:extLst>
        </c:ser>
        <c:ser>
          <c:idx val="3"/>
          <c:order val="3"/>
          <c:tx>
            <c:strRef>
              <c:f>pH!$A$23</c:f>
              <c:strCache>
                <c:ptCount val="1"/>
                <c:pt idx="0">
                  <c:v>pH equivalent of B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pH!$B$19:$I$19</c:f>
              <c:numCache>
                <c:formatCode>0.00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pH!$B$23:$I$23</c:f>
              <c:numCache>
                <c:formatCode>General</c:formatCode>
                <c:ptCount val="8"/>
                <c:pt idx="0">
                  <c:v>4.0950000000000006</c:v>
                </c:pt>
                <c:pt idx="1">
                  <c:v>3.915</c:v>
                </c:pt>
                <c:pt idx="2">
                  <c:v>3.9550000000000001</c:v>
                </c:pt>
                <c:pt idx="3">
                  <c:v>3.8449999999999998</c:v>
                </c:pt>
                <c:pt idx="4">
                  <c:v>3.8650000000000002</c:v>
                </c:pt>
                <c:pt idx="5">
                  <c:v>3.8849999999999998</c:v>
                </c:pt>
                <c:pt idx="6">
                  <c:v>3.8849999999999998</c:v>
                </c:pt>
                <c:pt idx="7">
                  <c:v>3.9950000000000001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62-42E9-8552-54DB2EC9179A}"/>
            </c:ext>
          </c:extLst>
        </c:ser>
        <c:ser>
          <c:idx val="4"/>
          <c:order val="4"/>
          <c:tx>
            <c:strRef>
              <c:f>pH!$A$24</c:f>
              <c:strCache>
                <c:ptCount val="1"/>
                <c:pt idx="0">
                  <c:v>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pH!$B$19:$I$19</c:f>
              <c:numCache>
                <c:formatCode>0.00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pH!$B$24:$I$24</c:f>
              <c:numCache>
                <c:formatCode>General</c:formatCode>
                <c:ptCount val="8"/>
                <c:pt idx="0">
                  <c:v>4.25</c:v>
                </c:pt>
                <c:pt idx="1">
                  <c:v>3.94</c:v>
                </c:pt>
                <c:pt idx="2">
                  <c:v>3.9450000000000003</c:v>
                </c:pt>
                <c:pt idx="3">
                  <c:v>3.86</c:v>
                </c:pt>
                <c:pt idx="4">
                  <c:v>3.915</c:v>
                </c:pt>
                <c:pt idx="5">
                  <c:v>3.9899999999999998</c:v>
                </c:pt>
                <c:pt idx="6">
                  <c:v>3.97</c:v>
                </c:pt>
                <c:pt idx="7">
                  <c:v>4.08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862-42E9-8552-54DB2EC9179A}"/>
            </c:ext>
          </c:extLst>
        </c:ser>
        <c:ser>
          <c:idx val="5"/>
          <c:order val="5"/>
          <c:tx>
            <c:strRef>
              <c:f>pH!$A$25</c:f>
              <c:strCache>
                <c:ptCount val="1"/>
                <c:pt idx="0">
                  <c:v>pH equivalent of 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pH!$B$19:$I$19</c:f>
              <c:numCache>
                <c:formatCode>0.00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pH!$B$25:$I$25</c:f>
              <c:numCache>
                <c:formatCode>General</c:formatCode>
                <c:ptCount val="8"/>
                <c:pt idx="0">
                  <c:v>4.2549999999999999</c:v>
                </c:pt>
                <c:pt idx="1">
                  <c:v>3.9750000000000001</c:v>
                </c:pt>
                <c:pt idx="2">
                  <c:v>3.9950000000000001</c:v>
                </c:pt>
                <c:pt idx="3">
                  <c:v>3.91</c:v>
                </c:pt>
                <c:pt idx="4">
                  <c:v>3.915</c:v>
                </c:pt>
                <c:pt idx="5">
                  <c:v>3.9750000000000001</c:v>
                </c:pt>
                <c:pt idx="6">
                  <c:v>4.0299999999999994</c:v>
                </c:pt>
                <c:pt idx="7">
                  <c:v>4.1050000000000004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862-42E9-8552-54DB2EC9179A}"/>
            </c:ext>
          </c:extLst>
        </c:ser>
        <c:ser>
          <c:idx val="6"/>
          <c:order val="6"/>
          <c:tx>
            <c:strRef>
              <c:f>pH!$A$26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pH!$B$19:$I$19</c:f>
              <c:numCache>
                <c:formatCode>0.00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pH!$B$26:$I$26</c:f>
              <c:numCache>
                <c:formatCode>General</c:formatCode>
                <c:ptCount val="8"/>
                <c:pt idx="0">
                  <c:v>4.3149999999999995</c:v>
                </c:pt>
                <c:pt idx="1">
                  <c:v>3.9350000000000001</c:v>
                </c:pt>
                <c:pt idx="2">
                  <c:v>3.9850000000000003</c:v>
                </c:pt>
                <c:pt idx="3">
                  <c:v>3.855</c:v>
                </c:pt>
                <c:pt idx="4">
                  <c:v>3.88</c:v>
                </c:pt>
                <c:pt idx="5">
                  <c:v>3.96</c:v>
                </c:pt>
                <c:pt idx="6">
                  <c:v>4.0449999999999999</c:v>
                </c:pt>
                <c:pt idx="7">
                  <c:v>4.13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862-42E9-8552-54DB2EC91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976144"/>
        <c:axId val="599974176"/>
        <c:extLst/>
      </c:scatterChart>
      <c:valAx>
        <c:axId val="599976144"/>
        <c:scaling>
          <c:orientation val="minMax"/>
          <c:max val="7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Fermentation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time (days)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974176"/>
        <c:crosses val="autoZero"/>
        <c:crossBetween val="midCat"/>
        <c:majorUnit val="1"/>
        <c:minorUnit val="0.5"/>
      </c:valAx>
      <c:valAx>
        <c:axId val="599974176"/>
        <c:scaling>
          <c:orientation val="minMax"/>
          <c:max val="7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976144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'VFA summary'!$A$20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'VFA summary'!$B$19:$H$19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summary'!$B$20:$H$20</c:f>
              <c:numCache>
                <c:formatCode>General</c:formatCode>
                <c:ptCount val="7"/>
                <c:pt idx="0">
                  <c:v>0</c:v>
                </c:pt>
                <c:pt idx="1">
                  <c:v>0.8054616830271859</c:v>
                </c:pt>
                <c:pt idx="2">
                  <c:v>1.0067751964503617</c:v>
                </c:pt>
                <c:pt idx="3">
                  <c:v>#N/A</c:v>
                </c:pt>
                <c:pt idx="4">
                  <c:v>#N/A</c:v>
                </c:pt>
                <c:pt idx="5">
                  <c:v>0.47046403042683205</c:v>
                </c:pt>
                <c:pt idx="6">
                  <c:v>0.56446241393976737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FF-4450-BF98-677A7E06EC81}"/>
            </c:ext>
          </c:extLst>
        </c:ser>
        <c:ser>
          <c:idx val="1"/>
          <c:order val="1"/>
          <c:tx>
            <c:strRef>
              <c:f>'VFA summary'!$A$21</c:f>
              <c:strCache>
                <c:ptCount val="1"/>
                <c:pt idx="0">
                  <c:v>pH equivalent of 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'VFA summary'!$B$19:$H$19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summary'!$B$21:$H$21</c:f>
              <c:numCache>
                <c:formatCode>General</c:formatCode>
                <c:ptCount val="7"/>
                <c:pt idx="0">
                  <c:v>0</c:v>
                </c:pt>
                <c:pt idx="1">
                  <c:v>0.76779826678398455</c:v>
                </c:pt>
                <c:pt idx="2">
                  <c:v>1.0316400928040705</c:v>
                </c:pt>
                <c:pt idx="3">
                  <c:v>#N/A</c:v>
                </c:pt>
                <c:pt idx="4">
                  <c:v>#N/A</c:v>
                </c:pt>
                <c:pt idx="5">
                  <c:v>0.60146314875858087</c:v>
                </c:pt>
                <c:pt idx="6">
                  <c:v>0.25788340498661411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FF-4450-BF98-677A7E06EC81}"/>
            </c:ext>
          </c:extLst>
        </c:ser>
        <c:ser>
          <c:idx val="2"/>
          <c:order val="2"/>
          <c:tx>
            <c:strRef>
              <c:f>'VFA summary'!$A$22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'VFA summary'!$B$19:$H$19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summary'!$B$22:$H$22</c:f>
              <c:numCache>
                <c:formatCode>General</c:formatCode>
                <c:ptCount val="7"/>
                <c:pt idx="0">
                  <c:v>0</c:v>
                </c:pt>
                <c:pt idx="1">
                  <c:v>0.75311461028882865</c:v>
                </c:pt>
                <c:pt idx="2">
                  <c:v>0.93791577717318775</c:v>
                </c:pt>
                <c:pt idx="3">
                  <c:v>#N/A</c:v>
                </c:pt>
                <c:pt idx="4">
                  <c:v>#N/A</c:v>
                </c:pt>
                <c:pt idx="5">
                  <c:v>0.6603292906327527</c:v>
                </c:pt>
                <c:pt idx="6">
                  <c:v>0.21829624282305501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FF-4450-BF98-677A7E06EC81}"/>
            </c:ext>
          </c:extLst>
        </c:ser>
        <c:ser>
          <c:idx val="3"/>
          <c:order val="3"/>
          <c:tx>
            <c:strRef>
              <c:f>'VFA summary'!$A$23</c:f>
              <c:strCache>
                <c:ptCount val="1"/>
                <c:pt idx="0">
                  <c:v>pH equivalent of 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'VFA summary'!$B$19:$H$19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summary'!$B$23:$H$23</c:f>
              <c:numCache>
                <c:formatCode>General</c:formatCode>
                <c:ptCount val="7"/>
                <c:pt idx="0">
                  <c:v>0</c:v>
                </c:pt>
                <c:pt idx="1">
                  <c:v>0.67504779237033108</c:v>
                </c:pt>
                <c:pt idx="2">
                  <c:v>0.89235706822281269</c:v>
                </c:pt>
                <c:pt idx="3">
                  <c:v>#N/A</c:v>
                </c:pt>
                <c:pt idx="4">
                  <c:v>#N/A</c:v>
                </c:pt>
                <c:pt idx="5">
                  <c:v>0.95402482852380177</c:v>
                </c:pt>
                <c:pt idx="6">
                  <c:v>0.65260428582403374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FF-4450-BF98-677A7E06EC81}"/>
            </c:ext>
          </c:extLst>
        </c:ser>
        <c:ser>
          <c:idx val="4"/>
          <c:order val="4"/>
          <c:tx>
            <c:strRef>
              <c:f>'VFA summary'!$A$24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'VFA summary'!$B$19:$H$19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summary'!$B$24:$H$24</c:f>
              <c:numCache>
                <c:formatCode>General</c:formatCode>
                <c:ptCount val="7"/>
                <c:pt idx="0">
                  <c:v>0</c:v>
                </c:pt>
                <c:pt idx="1">
                  <c:v>0.54648183688802598</c:v>
                </c:pt>
                <c:pt idx="2">
                  <c:v>0.70177852940306806</c:v>
                </c:pt>
                <c:pt idx="3">
                  <c:v>#N/A</c:v>
                </c:pt>
                <c:pt idx="4">
                  <c:v>#N/A</c:v>
                </c:pt>
                <c:pt idx="5">
                  <c:v>0.66590833078970479</c:v>
                </c:pt>
                <c:pt idx="6">
                  <c:v>0.60229507264922444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FF-4450-BF98-677A7E06EC81}"/>
            </c:ext>
          </c:extLst>
        </c:ser>
        <c:ser>
          <c:idx val="5"/>
          <c:order val="5"/>
          <c:tx>
            <c:strRef>
              <c:f>'VFA summary'!$A$25</c:f>
              <c:strCache>
                <c:ptCount val="1"/>
                <c:pt idx="0">
                  <c:v>pH equivalent of 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'VFA summary'!$B$19:$H$19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summary'!$B$25:$H$25</c:f>
              <c:numCache>
                <c:formatCode>General</c:formatCode>
                <c:ptCount val="7"/>
                <c:pt idx="0">
                  <c:v>0</c:v>
                </c:pt>
                <c:pt idx="1">
                  <c:v>0.54407026627898947</c:v>
                </c:pt>
                <c:pt idx="2">
                  <c:v>0.73015484068360692</c:v>
                </c:pt>
                <c:pt idx="3">
                  <c:v>#N/A</c:v>
                </c:pt>
                <c:pt idx="4">
                  <c:v>#N/A</c:v>
                </c:pt>
                <c:pt idx="5">
                  <c:v>0.47001388594147087</c:v>
                </c:pt>
                <c:pt idx="6">
                  <c:v>0.41297397355252502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FF-4450-BF98-677A7E06EC81}"/>
            </c:ext>
          </c:extLst>
        </c:ser>
        <c:ser>
          <c:idx val="6"/>
          <c:order val="6"/>
          <c:tx>
            <c:strRef>
              <c:f>'VFA summary'!$A$26</c:f>
              <c:strCache>
                <c:ptCount val="1"/>
                <c:pt idx="0">
                  <c:v>Control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'VFA summary'!$B$19:$H$19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summary'!$B$26:$H$26</c:f>
              <c:numCache>
                <c:formatCode>General</c:formatCode>
                <c:ptCount val="7"/>
                <c:pt idx="0">
                  <c:v>0</c:v>
                </c:pt>
                <c:pt idx="1">
                  <c:v>0.63425767681659395</c:v>
                </c:pt>
                <c:pt idx="2">
                  <c:v>0.80452385640236146</c:v>
                </c:pt>
                <c:pt idx="3">
                  <c:v>#N/A</c:v>
                </c:pt>
                <c:pt idx="4">
                  <c:v>#N/A</c:v>
                </c:pt>
                <c:pt idx="5">
                  <c:v>0.32945668607769818</c:v>
                </c:pt>
                <c:pt idx="6">
                  <c:v>0.324133942077382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CFF-4450-BF98-677A7E06E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155896"/>
        <c:axId val="733966128"/>
      </c:lineChart>
      <c:catAx>
        <c:axId val="728155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fermentation time</a:t>
                </a:r>
                <a:r>
                  <a:rPr lang="en-GB" baseline="0"/>
                  <a:t> (days)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966128"/>
        <c:crosses val="autoZero"/>
        <c:auto val="1"/>
        <c:lblAlgn val="ctr"/>
        <c:lblOffset val="100"/>
        <c:noMultiLvlLbl val="0"/>
      </c:catAx>
      <c:valAx>
        <c:axId val="73396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VFA (g 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155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1'!$C$5:$E$5</c:f>
              <c:numCache>
                <c:formatCode>General</c:formatCode>
                <c:ptCount val="3"/>
                <c:pt idx="0">
                  <c:v>1759</c:v>
                </c:pt>
                <c:pt idx="1">
                  <c:v>9003</c:v>
                </c:pt>
                <c:pt idx="2">
                  <c:v>18084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20-4EEF-B0C5-AD1FBA307638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1'!$C$6:$E$6</c:f>
              <c:numCache>
                <c:formatCode>General</c:formatCode>
                <c:ptCount val="3"/>
                <c:pt idx="0">
                  <c:v>2823</c:v>
                </c:pt>
                <c:pt idx="1">
                  <c:v>14377</c:v>
                </c:pt>
                <c:pt idx="2">
                  <c:v>28777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20-4EEF-B0C5-AD1FBA307638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1'!$C$7:$E$7</c:f>
              <c:numCache>
                <c:formatCode>General</c:formatCode>
                <c:ptCount val="3"/>
                <c:pt idx="0">
                  <c:v>3184</c:v>
                </c:pt>
                <c:pt idx="1">
                  <c:v>16436</c:v>
                </c:pt>
                <c:pt idx="2">
                  <c:v>33680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20-4EEF-B0C5-AD1FBA307638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1'!$C$8:$E$8</c:f>
              <c:numCache>
                <c:formatCode>General</c:formatCode>
                <c:ptCount val="3"/>
                <c:pt idx="0">
                  <c:v>3235</c:v>
                </c:pt>
                <c:pt idx="1">
                  <c:v>16723</c:v>
                </c:pt>
                <c:pt idx="2">
                  <c:v>34369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220-4EEF-B0C5-AD1FBA307638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1'!$C$9:$E$9</c:f>
              <c:numCache>
                <c:formatCode>General</c:formatCode>
                <c:ptCount val="3"/>
                <c:pt idx="0">
                  <c:v>3576</c:v>
                </c:pt>
                <c:pt idx="1">
                  <c:v>18277</c:v>
                </c:pt>
                <c:pt idx="2">
                  <c:v>37728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220-4EEF-B0C5-AD1FBA307638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1'!$C$10:$E$10</c:f>
              <c:numCache>
                <c:formatCode>General</c:formatCode>
                <c:ptCount val="3"/>
                <c:pt idx="0">
                  <c:v>3524</c:v>
                </c:pt>
                <c:pt idx="1">
                  <c:v>18350</c:v>
                </c:pt>
                <c:pt idx="2">
                  <c:v>38104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220-4EEF-B0C5-AD1FBA307638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1'!$C$11:$E$11</c:f>
              <c:numCache>
                <c:formatCode>General</c:formatCode>
                <c:ptCount val="3"/>
                <c:pt idx="0">
                  <c:v>3757</c:v>
                </c:pt>
                <c:pt idx="1">
                  <c:v>19080</c:v>
                </c:pt>
                <c:pt idx="2">
                  <c:v>40121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220-4EEF-B0C5-AD1FBA307638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1'!$C$12:$E$12</c:f>
              <c:numCache>
                <c:formatCode>General</c:formatCode>
                <c:ptCount val="3"/>
                <c:pt idx="0">
                  <c:v>4168</c:v>
                </c:pt>
                <c:pt idx="1">
                  <c:v>20509</c:v>
                </c:pt>
                <c:pt idx="2">
                  <c:v>43755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220-4EEF-B0C5-AD1FBA307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2'!$C$5:$E$5</c:f>
              <c:numCache>
                <c:formatCode>General</c:formatCode>
                <c:ptCount val="3"/>
                <c:pt idx="0">
                  <c:v>2545</c:v>
                </c:pt>
                <c:pt idx="1">
                  <c:v>7663</c:v>
                </c:pt>
                <c:pt idx="2">
                  <c:v>15528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C4-4457-93B5-1B6D4D1B1299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2'!$C$6:$E$6</c:f>
              <c:numCache>
                <c:formatCode>General</c:formatCode>
                <c:ptCount val="3"/>
                <c:pt idx="0">
                  <c:v>2382</c:v>
                </c:pt>
                <c:pt idx="1">
                  <c:v>11446</c:v>
                </c:pt>
                <c:pt idx="2">
                  <c:v>24075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C4-4457-93B5-1B6D4D1B1299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2'!$C$7:$E$7</c:f>
              <c:numCache>
                <c:formatCode>General</c:formatCode>
                <c:ptCount val="3"/>
                <c:pt idx="0">
                  <c:v>2667</c:v>
                </c:pt>
                <c:pt idx="1">
                  <c:v>13490</c:v>
                </c:pt>
                <c:pt idx="2">
                  <c:v>28601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C4-4457-93B5-1B6D4D1B1299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2'!$C$8:$E$8</c:f>
              <c:numCache>
                <c:formatCode>General</c:formatCode>
                <c:ptCount val="3"/>
                <c:pt idx="0">
                  <c:v>2663</c:v>
                </c:pt>
                <c:pt idx="1">
                  <c:v>13399</c:v>
                </c:pt>
                <c:pt idx="2">
                  <c:v>28502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C4-4457-93B5-1B6D4D1B1299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2'!$C$9:$E$9</c:f>
              <c:numCache>
                <c:formatCode>General</c:formatCode>
                <c:ptCount val="3"/>
                <c:pt idx="0">
                  <c:v>2908</c:v>
                </c:pt>
                <c:pt idx="1">
                  <c:v>14750</c:v>
                </c:pt>
                <c:pt idx="2">
                  <c:v>31316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5C4-4457-93B5-1B6D4D1B1299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2'!$C$10:$E$10</c:f>
              <c:numCache>
                <c:formatCode>General</c:formatCode>
                <c:ptCount val="3"/>
                <c:pt idx="0">
                  <c:v>2826</c:v>
                </c:pt>
                <c:pt idx="1">
                  <c:v>14644</c:v>
                </c:pt>
                <c:pt idx="2">
                  <c:v>31233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5C4-4457-93B5-1B6D4D1B1299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2'!$C$11:$E$11</c:f>
              <c:numCache>
                <c:formatCode>General</c:formatCode>
                <c:ptCount val="3"/>
                <c:pt idx="0">
                  <c:v>6169</c:v>
                </c:pt>
                <c:pt idx="1">
                  <c:v>17057</c:v>
                </c:pt>
                <c:pt idx="2">
                  <c:v>35607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5C4-4457-93B5-1B6D4D1B1299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2'!$C$12:$E$12</c:f>
              <c:numCache>
                <c:formatCode>General</c:formatCode>
                <c:ptCount val="3"/>
                <c:pt idx="0">
                  <c:v>3538</c:v>
                </c:pt>
                <c:pt idx="1">
                  <c:v>16890</c:v>
                </c:pt>
                <c:pt idx="2">
                  <c:v>35777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5C4-4457-93B5-1B6D4D1B1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5'!$C$5:$E$5</c:f>
              <c:numCache>
                <c:formatCode>General</c:formatCode>
                <c:ptCount val="3"/>
                <c:pt idx="0">
                  <c:v>1840</c:v>
                </c:pt>
                <c:pt idx="1">
                  <c:v>8657</c:v>
                </c:pt>
                <c:pt idx="2">
                  <c:v>17851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2D-4501-9C0E-4D7806DC28CE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5'!$C$6:$E$6</c:f>
              <c:numCache>
                <c:formatCode>General</c:formatCode>
                <c:ptCount val="3"/>
                <c:pt idx="0">
                  <c:v>2748</c:v>
                </c:pt>
                <c:pt idx="1">
                  <c:v>13175</c:v>
                </c:pt>
                <c:pt idx="2">
                  <c:v>27393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2D-4501-9C0E-4D7806DC28CE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5'!$C$7:$E$7</c:f>
              <c:numCache>
                <c:formatCode>General</c:formatCode>
                <c:ptCount val="3"/>
                <c:pt idx="0">
                  <c:v>3044</c:v>
                </c:pt>
                <c:pt idx="1">
                  <c:v>15512</c:v>
                </c:pt>
                <c:pt idx="2">
                  <c:v>32073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2D-4501-9C0E-4D7806DC28CE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5'!$C$8:$E$8</c:f>
              <c:numCache>
                <c:formatCode>General</c:formatCode>
                <c:ptCount val="3"/>
                <c:pt idx="0">
                  <c:v>3166</c:v>
                </c:pt>
                <c:pt idx="1">
                  <c:v>15612</c:v>
                </c:pt>
                <c:pt idx="2">
                  <c:v>32840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2D-4501-9C0E-4D7806DC28CE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5'!$C$9:$E$9</c:f>
              <c:numCache>
                <c:formatCode>General</c:formatCode>
                <c:ptCount val="3"/>
                <c:pt idx="0">
                  <c:v>3399</c:v>
                </c:pt>
                <c:pt idx="1">
                  <c:v>17031</c:v>
                </c:pt>
                <c:pt idx="2">
                  <c:v>35852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82D-4501-9C0E-4D7806DC28CE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5'!$C$10:$E$10</c:f>
              <c:numCache>
                <c:formatCode>General</c:formatCode>
                <c:ptCount val="3"/>
                <c:pt idx="0">
                  <c:v>3352</c:v>
                </c:pt>
                <c:pt idx="1">
                  <c:v>17055</c:v>
                </c:pt>
                <c:pt idx="2">
                  <c:v>36075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82D-4501-9C0E-4D7806DC28CE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5'!$C$11:$E$11</c:f>
              <c:numCache>
                <c:formatCode>General</c:formatCode>
                <c:ptCount val="3"/>
                <c:pt idx="0">
                  <c:v>3483</c:v>
                </c:pt>
                <c:pt idx="1">
                  <c:v>17528</c:v>
                </c:pt>
                <c:pt idx="2">
                  <c:v>37539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82D-4501-9C0E-4D7806DC28CE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5'!$C$12:$E$12</c:f>
              <c:numCache>
                <c:formatCode>General</c:formatCode>
                <c:ptCount val="3"/>
                <c:pt idx="0">
                  <c:v>3804</c:v>
                </c:pt>
                <c:pt idx="1">
                  <c:v>18618</c:v>
                </c:pt>
                <c:pt idx="2">
                  <c:v>40386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82D-4501-9C0E-4D7806DC2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6'!$C$5:$E$5</c:f>
              <c:numCache>
                <c:formatCode>General</c:formatCode>
                <c:ptCount val="3"/>
                <c:pt idx="0">
                  <c:v>1857</c:v>
                </c:pt>
                <c:pt idx="1">
                  <c:v>7495</c:v>
                </c:pt>
                <c:pt idx="2">
                  <c:v>15275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60-4C07-BCB3-901D1552ADDC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6'!$C$6:$E$6</c:f>
              <c:numCache>
                <c:formatCode>General</c:formatCode>
                <c:ptCount val="3"/>
                <c:pt idx="0">
                  <c:v>2438</c:v>
                </c:pt>
                <c:pt idx="1">
                  <c:v>11181</c:v>
                </c:pt>
                <c:pt idx="2">
                  <c:v>23074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60-4C07-BCB3-901D1552ADDC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6'!$C$7:$E$7</c:f>
              <c:numCache>
                <c:formatCode>General</c:formatCode>
                <c:ptCount val="3"/>
                <c:pt idx="0">
                  <c:v>2675</c:v>
                </c:pt>
                <c:pt idx="1">
                  <c:v>12947</c:v>
                </c:pt>
                <c:pt idx="2">
                  <c:v>27299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60-4C07-BCB3-901D1552ADDC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6'!$C$8:$E$8</c:f>
              <c:numCache>
                <c:formatCode>General</c:formatCode>
                <c:ptCount val="3"/>
                <c:pt idx="0">
                  <c:v>2659</c:v>
                </c:pt>
                <c:pt idx="1">
                  <c:v>12833</c:v>
                </c:pt>
                <c:pt idx="2">
                  <c:v>27102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D60-4C07-BCB3-901D1552ADDC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6'!$C$9:$E$9</c:f>
              <c:numCache>
                <c:formatCode>General</c:formatCode>
                <c:ptCount val="3"/>
                <c:pt idx="0">
                  <c:v>2900</c:v>
                </c:pt>
                <c:pt idx="1">
                  <c:v>13870</c:v>
                </c:pt>
                <c:pt idx="2">
                  <c:v>29412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60-4C07-BCB3-901D1552ADDC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6'!$C$10:$E$10</c:f>
              <c:numCache>
                <c:formatCode>General</c:formatCode>
                <c:ptCount val="3"/>
                <c:pt idx="0">
                  <c:v>2851</c:v>
                </c:pt>
                <c:pt idx="1">
                  <c:v>13715</c:v>
                </c:pt>
                <c:pt idx="2">
                  <c:v>29249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D60-4C07-BCB3-901D1552ADDC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6'!$C$11:$E$11</c:f>
              <c:numCache>
                <c:formatCode>General</c:formatCode>
                <c:ptCount val="3"/>
                <c:pt idx="0">
                  <c:v>7534</c:v>
                </c:pt>
                <c:pt idx="1">
                  <c:v>17207</c:v>
                </c:pt>
                <c:pt idx="2">
                  <c:v>33464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D60-4C07-BCB3-901D1552ADDC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6'!$C$12:$E$12</c:f>
              <c:numCache>
                <c:formatCode>General</c:formatCode>
                <c:ptCount val="3"/>
                <c:pt idx="0">
                  <c:v>3167</c:v>
                </c:pt>
                <c:pt idx="1">
                  <c:v>14699</c:v>
                </c:pt>
                <c:pt idx="2">
                  <c:v>31788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D60-4C07-BCB3-901D1552A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144780</xdr:colOff>
      <xdr:row>0</xdr:row>
      <xdr:rowOff>169545</xdr:rowOff>
    </xdr:from>
    <xdr:to>
      <xdr:col>17</xdr:col>
      <xdr:colOff>495300</xdr:colOff>
      <xdr:row>21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280035</xdr:colOff>
      <xdr:row>1</xdr:row>
      <xdr:rowOff>120015</xdr:rowOff>
    </xdr:from>
    <xdr:to>
      <xdr:col>28</xdr:col>
      <xdr:colOff>596265</xdr:colOff>
      <xdr:row>19</xdr:row>
      <xdr:rowOff>150495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1"/>
  <sheetViews>
    <sheetView tabSelected="1" workbookViewId="0">
      <selection activeCell="G15" sqref="G15"/>
    </sheetView>
  </sheetViews>
  <sheetFormatPr defaultRowHeight="15" x14ac:dyDescent="0.25"/>
  <cols>
    <col min="1" max="1" width="21.28515625" customWidth="1"/>
    <col min="2" max="2" width="9.28515625" bestFit="1" customWidth="1"/>
    <col min="3" max="3" width="11.42578125" customWidth="1"/>
    <col min="4" max="4" width="11.85546875" customWidth="1"/>
    <col min="5" max="5" width="13.28515625" customWidth="1"/>
    <col min="6" max="6" width="13.5703125" customWidth="1"/>
    <col min="7" max="7" width="14.140625" customWidth="1"/>
    <col min="8" max="8" width="13.42578125" customWidth="1"/>
    <col min="10" max="10" width="11.7109375" customWidth="1"/>
    <col min="11" max="11" width="15.28515625" customWidth="1"/>
    <col min="12" max="12" width="15" customWidth="1"/>
    <col min="15" max="15" width="11.85546875" customWidth="1"/>
    <col min="17" max="17" width="8.28515625" customWidth="1"/>
    <col min="18" max="18" width="12.140625" customWidth="1"/>
    <col min="19" max="19" width="12.42578125" customWidth="1"/>
    <col min="20" max="20" width="18.42578125" customWidth="1"/>
  </cols>
  <sheetData>
    <row r="1" spans="1:20" ht="20.25" thickBot="1" x14ac:dyDescent="0.35">
      <c r="A1" s="31" t="s">
        <v>122</v>
      </c>
      <c r="B1" s="31"/>
      <c r="C1" s="31"/>
    </row>
    <row r="2" spans="1:20" ht="15.75" thickTop="1" x14ac:dyDescent="0.25"/>
    <row r="3" spans="1:20" x14ac:dyDescent="0.25">
      <c r="A3" s="1" t="s">
        <v>0</v>
      </c>
      <c r="B3" s="1">
        <v>40</v>
      </c>
    </row>
    <row r="4" spans="1:20" x14ac:dyDescent="0.25">
      <c r="A4" s="1" t="s">
        <v>1</v>
      </c>
      <c r="B4" s="2">
        <v>4.7507676342800002E-2</v>
      </c>
      <c r="D4" s="3"/>
      <c r="E4" s="3"/>
      <c r="K4" t="s">
        <v>29</v>
      </c>
      <c r="L4" t="s">
        <v>29</v>
      </c>
    </row>
    <row r="5" spans="1:20" x14ac:dyDescent="0.25">
      <c r="A5" s="1" t="s">
        <v>2</v>
      </c>
      <c r="B5" s="2">
        <v>0.02</v>
      </c>
      <c r="E5" s="1" t="s">
        <v>21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117</v>
      </c>
      <c r="L5" s="4" t="s">
        <v>118</v>
      </c>
      <c r="M5" s="4" t="s">
        <v>11</v>
      </c>
      <c r="N5" s="4" t="s">
        <v>12</v>
      </c>
      <c r="O5" s="4" t="s">
        <v>25</v>
      </c>
      <c r="P5" s="9" t="s">
        <v>23</v>
      </c>
      <c r="Q5" s="9" t="s">
        <v>20</v>
      </c>
      <c r="R5" s="9" t="s">
        <v>24</v>
      </c>
      <c r="S5" s="9" t="s">
        <v>28</v>
      </c>
      <c r="T5" s="9" t="s">
        <v>114</v>
      </c>
    </row>
    <row r="6" spans="1:20" x14ac:dyDescent="0.25">
      <c r="A6" s="1" t="s">
        <v>3</v>
      </c>
      <c r="B6" s="1">
        <v>0.2</v>
      </c>
      <c r="D6" s="10" t="s">
        <v>15</v>
      </c>
      <c r="E6" s="4">
        <v>25</v>
      </c>
      <c r="F6" s="1">
        <v>2</v>
      </c>
      <c r="G6" s="12">
        <v>7.4999999999999997E-2</v>
      </c>
      <c r="H6" s="1">
        <v>150</v>
      </c>
      <c r="I6" s="2">
        <f>H6*G6/$B$7</f>
        <v>41.666666666666664</v>
      </c>
      <c r="J6" s="2">
        <f>I6*F6</f>
        <v>83.333333333333329</v>
      </c>
      <c r="K6" s="2">
        <f>I6*$B$7*0.02*0.81/50*1000</f>
        <v>3.6450000000000005</v>
      </c>
      <c r="L6" s="2">
        <f>I6*$B$7*0.02*0.19/50*1000</f>
        <v>0.85500000000000009</v>
      </c>
      <c r="M6" s="2">
        <f>H6-I6-K6-L6</f>
        <v>103.83333333333334</v>
      </c>
      <c r="N6" s="2">
        <f>H6*G6/$B$3/$B$4</f>
        <v>5.9200959013568903</v>
      </c>
      <c r="O6" s="2">
        <f>N6*F6</f>
        <v>11.840191802713781</v>
      </c>
      <c r="P6" s="1">
        <f>(I6*$B$7*$B$12)/E6-$B$13*I6*$B$7</f>
        <v>6.7499999999999991E-2</v>
      </c>
      <c r="Q6" s="2">
        <f>P6*$B$10/$B$11</f>
        <v>0.14471824198419325</v>
      </c>
      <c r="R6" s="2">
        <f>Q6*F6</f>
        <v>0.2894364839683865</v>
      </c>
      <c r="S6" s="2">
        <f>P6*18/14/(H6/1000)</f>
        <v>0.57857142857142851</v>
      </c>
      <c r="T6" s="1">
        <f>Q6/(H6/1000)*14*2/60</f>
        <v>0.45023453061749014</v>
      </c>
    </row>
    <row r="7" spans="1:20" x14ac:dyDescent="0.25">
      <c r="A7" s="1" t="s">
        <v>4</v>
      </c>
      <c r="B7" s="2">
        <v>0.27</v>
      </c>
      <c r="D7" s="10" t="s">
        <v>16</v>
      </c>
      <c r="E7" s="4">
        <v>10</v>
      </c>
      <c r="F7" s="1">
        <v>2</v>
      </c>
      <c r="G7" s="12">
        <v>7.4999999999999997E-2</v>
      </c>
      <c r="H7" s="1">
        <v>150</v>
      </c>
      <c r="I7" s="2">
        <f t="shared" ref="I7:I8" si="0">H7*G7/$B$7</f>
        <v>41.666666666666664</v>
      </c>
      <c r="J7" s="2">
        <f t="shared" ref="J7:J8" si="1">I7*F7</f>
        <v>83.333333333333329</v>
      </c>
      <c r="K7" s="2">
        <f t="shared" ref="K7:K8" si="2">I7*$B$7*0.02*0.81/50*1000</f>
        <v>3.6450000000000005</v>
      </c>
      <c r="L7" s="2">
        <f t="shared" ref="L7:L8" si="3">I7*$B$7*0.02*0.19/50*1000</f>
        <v>0.85500000000000009</v>
      </c>
      <c r="M7" s="2">
        <f t="shared" ref="M7:M8" si="4">H7-I7-K7-L7</f>
        <v>103.83333333333334</v>
      </c>
      <c r="N7" s="2">
        <f t="shared" ref="N7:N8" si="5">H7*G7/$B$3/$B$4</f>
        <v>5.9200959013568903</v>
      </c>
      <c r="O7" s="2">
        <f>N7*F7</f>
        <v>11.840191802713781</v>
      </c>
      <c r="P7" s="1">
        <f t="shared" ref="P7:P8" si="6">(I7*$B$7*$B$12)/E7-$B$13*I7*$B$7</f>
        <v>0.33750000000000002</v>
      </c>
      <c r="Q7" s="2">
        <f t="shared" ref="Q7:Q8" si="7">P7*$B$10/$B$11</f>
        <v>0.72359120992096637</v>
      </c>
      <c r="R7" s="2">
        <f t="shared" ref="R7:R8" si="8">Q7*F7</f>
        <v>1.4471824198419327</v>
      </c>
      <c r="S7" s="2">
        <f t="shared" ref="S7:S8" si="9">P7*18/14/(H7/1000)</f>
        <v>2.8928571428571432</v>
      </c>
      <c r="T7" s="1">
        <f t="shared" ref="T7:T8" si="10">Q7/(H7/1000)*14*2/60</f>
        <v>2.2511726530874512</v>
      </c>
    </row>
    <row r="8" spans="1:20" x14ac:dyDescent="0.25">
      <c r="A8" s="1" t="s">
        <v>5</v>
      </c>
      <c r="B8" s="1">
        <v>35</v>
      </c>
      <c r="D8" s="10" t="s">
        <v>17</v>
      </c>
      <c r="E8" s="4">
        <v>5</v>
      </c>
      <c r="F8" s="1">
        <v>2</v>
      </c>
      <c r="G8" s="12">
        <v>7.4999999999999997E-2</v>
      </c>
      <c r="H8" s="1">
        <v>150</v>
      </c>
      <c r="I8" s="2">
        <f t="shared" si="0"/>
        <v>41.666666666666664</v>
      </c>
      <c r="J8" s="2">
        <f t="shared" si="1"/>
        <v>83.333333333333329</v>
      </c>
      <c r="K8" s="2">
        <f t="shared" si="2"/>
        <v>3.6450000000000005</v>
      </c>
      <c r="L8" s="2">
        <f t="shared" si="3"/>
        <v>0.85500000000000009</v>
      </c>
      <c r="M8" s="2">
        <f t="shared" si="4"/>
        <v>103.83333333333334</v>
      </c>
      <c r="N8" s="2">
        <f t="shared" si="5"/>
        <v>5.9200959013568903</v>
      </c>
      <c r="O8" s="2">
        <f>N8*F8</f>
        <v>11.840191802713781</v>
      </c>
      <c r="P8" s="1">
        <f t="shared" si="6"/>
        <v>0.78749999999999998</v>
      </c>
      <c r="Q8" s="2">
        <f t="shared" si="7"/>
        <v>1.6883794898155882</v>
      </c>
      <c r="R8" s="2">
        <f t="shared" si="8"/>
        <v>3.3767589796311763</v>
      </c>
      <c r="S8" s="2">
        <f t="shared" si="9"/>
        <v>6.75</v>
      </c>
      <c r="T8" s="1">
        <f t="shared" si="10"/>
        <v>5.2527361905373855</v>
      </c>
    </row>
    <row r="9" spans="1:20" x14ac:dyDescent="0.25">
      <c r="A9" s="7" t="s">
        <v>18</v>
      </c>
      <c r="B9" s="8">
        <f>B12/B13</f>
        <v>40</v>
      </c>
      <c r="I9" s="4" t="s">
        <v>13</v>
      </c>
      <c r="J9" s="6">
        <f>SUM(J6:J8)</f>
        <v>250</v>
      </c>
      <c r="K9" s="13"/>
      <c r="L9" s="13"/>
      <c r="N9" s="4" t="s">
        <v>14</v>
      </c>
      <c r="O9" s="6">
        <f>SUM(O6:O8)</f>
        <v>35.52057540814134</v>
      </c>
      <c r="Q9" s="4" t="s">
        <v>14</v>
      </c>
      <c r="R9" s="6">
        <f>SUM(R6:R8)</f>
        <v>5.1133778834414958</v>
      </c>
    </row>
    <row r="10" spans="1:20" x14ac:dyDescent="0.25">
      <c r="A10" s="7" t="s">
        <v>19</v>
      </c>
      <c r="B10" s="1">
        <v>60.06</v>
      </c>
    </row>
    <row r="11" spans="1:20" x14ac:dyDescent="0.25">
      <c r="A11" s="7" t="s">
        <v>22</v>
      </c>
      <c r="B11" s="2">
        <f>2*14.0067</f>
        <v>28.013400000000001</v>
      </c>
    </row>
    <row r="12" spans="1:20" x14ac:dyDescent="0.25">
      <c r="A12" s="7" t="s">
        <v>26</v>
      </c>
      <c r="B12" s="5">
        <v>0.4</v>
      </c>
    </row>
    <row r="13" spans="1:20" x14ac:dyDescent="0.25">
      <c r="A13" s="7" t="s">
        <v>27</v>
      </c>
      <c r="B13" s="11">
        <f>1%</f>
        <v>0.01</v>
      </c>
    </row>
    <row r="17" spans="1:16" ht="20.25" thickBot="1" x14ac:dyDescent="0.35">
      <c r="A17" s="31" t="s">
        <v>121</v>
      </c>
      <c r="B17" s="31"/>
      <c r="C17" s="31"/>
    </row>
    <row r="18" spans="1:16" ht="15.75" thickTop="1" x14ac:dyDescent="0.25"/>
    <row r="19" spans="1:16" x14ac:dyDescent="0.25">
      <c r="B19" s="3" t="s">
        <v>98</v>
      </c>
      <c r="J19" s="3" t="s">
        <v>99</v>
      </c>
    </row>
    <row r="20" spans="1:16" x14ac:dyDescent="0.25">
      <c r="B20" s="4" t="s">
        <v>100</v>
      </c>
      <c r="C20" s="4" t="s">
        <v>101</v>
      </c>
      <c r="D20" s="4" t="s">
        <v>102</v>
      </c>
      <c r="E20" s="4" t="s">
        <v>103</v>
      </c>
      <c r="F20" s="4" t="s">
        <v>104</v>
      </c>
      <c r="G20" s="4" t="s">
        <v>105</v>
      </c>
      <c r="H20" s="4" t="s">
        <v>106</v>
      </c>
      <c r="J20" s="4" t="s">
        <v>100</v>
      </c>
      <c r="K20" s="4" t="s">
        <v>101</v>
      </c>
      <c r="L20" s="4" t="s">
        <v>102</v>
      </c>
      <c r="M20" s="4" t="s">
        <v>103</v>
      </c>
      <c r="N20" s="4" t="s">
        <v>104</v>
      </c>
      <c r="O20" s="4" t="s">
        <v>105</v>
      </c>
      <c r="P20" s="4" t="s">
        <v>106</v>
      </c>
    </row>
    <row r="21" spans="1:16" x14ac:dyDescent="0.25">
      <c r="B21" s="1">
        <v>26.770399999999999</v>
      </c>
      <c r="C21" s="1">
        <v>7.9070999999999998</v>
      </c>
      <c r="D21" s="1">
        <v>28.784700000000001</v>
      </c>
      <c r="E21" s="1">
        <v>27.187899999999999</v>
      </c>
      <c r="F21" s="21">
        <f>(D21-B21)/C21</f>
        <v>0.2547457348458983</v>
      </c>
      <c r="G21" s="21">
        <f>(D21-E21)/C21</f>
        <v>0.20194508732658015</v>
      </c>
      <c r="H21" s="22">
        <f>G21/F21</f>
        <v>0.79273196643995436</v>
      </c>
      <c r="J21" s="1">
        <v>29.519400000000001</v>
      </c>
      <c r="K21" s="1">
        <v>17.0686</v>
      </c>
      <c r="L21" s="1">
        <v>30.310199999999998</v>
      </c>
      <c r="M21" s="1">
        <v>29.752400000000002</v>
      </c>
      <c r="N21" s="21">
        <f>(L21-J21)/K21</f>
        <v>4.633068910162505E-2</v>
      </c>
      <c r="O21" s="21">
        <f>(L21-M21)/K21</f>
        <v>3.2679891731014654E-2</v>
      </c>
      <c r="P21" s="22">
        <f>O21/N21</f>
        <v>0.70536165907941151</v>
      </c>
    </row>
    <row r="22" spans="1:16" x14ac:dyDescent="0.25">
      <c r="B22" s="1">
        <v>25.505600000000001</v>
      </c>
      <c r="C22" s="1">
        <v>7.5125999999999999</v>
      </c>
      <c r="D22" s="1">
        <v>27.598199999999999</v>
      </c>
      <c r="E22" s="1">
        <v>26.079799999999999</v>
      </c>
      <c r="F22" s="21">
        <f t="shared" ref="F22:F23" si="11">(D22-B22)/C22</f>
        <v>0.27854537709980531</v>
      </c>
      <c r="G22" s="21">
        <f t="shared" ref="G22:G23" si="12">(D22-E22)/C22</f>
        <v>0.20211378217927212</v>
      </c>
      <c r="H22" s="22">
        <f t="shared" ref="H22:H23" si="13">G22/F22</f>
        <v>0.72560451113447466</v>
      </c>
      <c r="J22" s="1">
        <v>28.416499999999999</v>
      </c>
      <c r="K22" s="1">
        <v>23.676500000000001</v>
      </c>
      <c r="L22" s="1">
        <v>29.5152</v>
      </c>
      <c r="M22" s="1">
        <v>28.740600000000001</v>
      </c>
      <c r="N22" s="21">
        <f t="shared" ref="N22:N23" si="14">(L22-J22)/K22</f>
        <v>4.6404662851350531E-2</v>
      </c>
      <c r="O22" s="21">
        <f t="shared" ref="O22:O23" si="15">(L22-M22)/K22</f>
        <v>3.2715984203746308E-2</v>
      </c>
      <c r="P22" s="22">
        <f t="shared" ref="P22:P23" si="16">O22/N22</f>
        <v>0.70501501774824693</v>
      </c>
    </row>
    <row r="23" spans="1:16" ht="15.75" thickBot="1" x14ac:dyDescent="0.3">
      <c r="B23" s="1">
        <v>23.671600000000002</v>
      </c>
      <c r="C23" s="1">
        <v>8.0954999999999995</v>
      </c>
      <c r="D23" s="1">
        <v>25.732099999999999</v>
      </c>
      <c r="E23" s="33">
        <v>24.072800000000001</v>
      </c>
      <c r="F23" s="34">
        <f t="shared" si="11"/>
        <v>0.25452411833734762</v>
      </c>
      <c r="G23" s="34">
        <f t="shared" si="12"/>
        <v>0.20496572169723901</v>
      </c>
      <c r="H23" s="35">
        <f t="shared" si="13"/>
        <v>0.80528997816064074</v>
      </c>
      <c r="J23" s="1">
        <v>29.464400000000001</v>
      </c>
      <c r="K23" s="1">
        <v>21.118099999999998</v>
      </c>
      <c r="L23" s="1">
        <v>30.444299999999998</v>
      </c>
      <c r="M23" s="33">
        <v>29.7546</v>
      </c>
      <c r="N23" s="34">
        <f t="shared" si="14"/>
        <v>4.6400954631335069E-2</v>
      </c>
      <c r="O23" s="34">
        <f t="shared" si="15"/>
        <v>3.2659188089837553E-2</v>
      </c>
      <c r="P23" s="35">
        <f t="shared" si="16"/>
        <v>0.70384733136034339</v>
      </c>
    </row>
    <row r="24" spans="1:16" ht="15.75" thickBot="1" x14ac:dyDescent="0.3">
      <c r="E24" s="42" t="s">
        <v>45</v>
      </c>
      <c r="F24" s="43">
        <f>AVERAGE(F21:F23)</f>
        <v>0.26260507676101708</v>
      </c>
      <c r="G24" s="43">
        <f t="shared" ref="G24:H24" si="17">AVERAGE(G21:G23)</f>
        <v>0.2030081970676971</v>
      </c>
      <c r="H24" s="44">
        <f t="shared" si="17"/>
        <v>0.77454215191168985</v>
      </c>
      <c r="M24" s="42" t="s">
        <v>45</v>
      </c>
      <c r="N24" s="43">
        <f>AVERAGE(N21:N23)</f>
        <v>4.6378768861436881E-2</v>
      </c>
      <c r="O24" s="43">
        <f t="shared" ref="O24:P24" si="18">AVERAGE(O21:O23)</f>
        <v>3.2685021341532838E-2</v>
      </c>
      <c r="P24" s="44">
        <f t="shared" si="18"/>
        <v>0.70474133606266731</v>
      </c>
    </row>
    <row r="25" spans="1:16" x14ac:dyDescent="0.25">
      <c r="F25" s="23"/>
      <c r="G25" s="23"/>
      <c r="H25" s="23"/>
      <c r="N25" s="23"/>
      <c r="O25" s="23"/>
      <c r="P25" s="23"/>
    </row>
    <row r="26" spans="1:16" ht="15.75" thickBot="1" x14ac:dyDescent="0.3">
      <c r="F26" t="s">
        <v>112</v>
      </c>
      <c r="G26" t="s">
        <v>112</v>
      </c>
    </row>
    <row r="27" spans="1:16" x14ac:dyDescent="0.25">
      <c r="A27" s="45" t="s">
        <v>128</v>
      </c>
      <c r="B27" s="46" t="s">
        <v>85</v>
      </c>
      <c r="C27" s="46" t="s">
        <v>107</v>
      </c>
      <c r="D27" s="46" t="s">
        <v>108</v>
      </c>
      <c r="E27" s="46" t="s">
        <v>99</v>
      </c>
      <c r="F27" s="46" t="s">
        <v>119</v>
      </c>
      <c r="G27" s="46" t="s">
        <v>120</v>
      </c>
      <c r="H27" s="46" t="s">
        <v>109</v>
      </c>
      <c r="I27" s="46" t="s">
        <v>110</v>
      </c>
      <c r="J27" s="47" t="s">
        <v>111</v>
      </c>
    </row>
    <row r="28" spans="1:16" x14ac:dyDescent="0.25">
      <c r="A28" s="36" t="s">
        <v>15</v>
      </c>
      <c r="B28" s="37" t="s">
        <v>31</v>
      </c>
      <c r="C28" s="37">
        <v>41.61</v>
      </c>
      <c r="D28" s="37">
        <v>103.91</v>
      </c>
      <c r="E28" s="37">
        <v>5.97</v>
      </c>
      <c r="F28" s="37">
        <v>3.66</v>
      </c>
      <c r="G28" s="37">
        <v>0.89</v>
      </c>
      <c r="H28" s="37">
        <v>0.14299999999999999</v>
      </c>
      <c r="I28" s="37">
        <f>C28*$G$24+E28*$O$24+H28+F28*50/1000*0.41+G28*50/1000*0.14</f>
        <v>8.8665606573958282</v>
      </c>
      <c r="J28" s="38">
        <f>I28/(SUM(C28:H28))</f>
        <v>5.6770331325405647E-2</v>
      </c>
    </row>
    <row r="29" spans="1:16" x14ac:dyDescent="0.25">
      <c r="A29" s="36" t="s">
        <v>15</v>
      </c>
      <c r="B29" s="37" t="s">
        <v>32</v>
      </c>
      <c r="C29" s="37">
        <v>41.62</v>
      </c>
      <c r="D29" s="37">
        <v>103.94</v>
      </c>
      <c r="E29" s="37">
        <v>5.96</v>
      </c>
      <c r="F29" s="37">
        <v>3.65</v>
      </c>
      <c r="G29" s="37">
        <v>0.86</v>
      </c>
      <c r="H29" s="37">
        <v>0.14399999999999999</v>
      </c>
      <c r="I29" s="37">
        <f t="shared" ref="I29:I41" si="19">C29*$G$24+E29*$O$24+H29+F29*50/1000*0.41+G29*50/1000*0.14</f>
        <v>8.8688488891530888</v>
      </c>
      <c r="J29" s="38">
        <f t="shared" ref="J29:J41" si="20">I29/(SUM(C29:H29))</f>
        <v>5.67882546976647E-2</v>
      </c>
    </row>
    <row r="30" spans="1:16" x14ac:dyDescent="0.25">
      <c r="A30" s="36" t="s">
        <v>125</v>
      </c>
      <c r="B30" s="37" t="s">
        <v>33</v>
      </c>
      <c r="C30" s="37">
        <v>41.65</v>
      </c>
      <c r="D30" s="37">
        <v>103.85</v>
      </c>
      <c r="E30" s="37">
        <v>5.95</v>
      </c>
      <c r="F30" s="37">
        <v>3.64</v>
      </c>
      <c r="G30" s="37">
        <v>0.85</v>
      </c>
      <c r="H30" s="37"/>
      <c r="I30" s="37">
        <f t="shared" si="19"/>
        <v>8.7303372848517036</v>
      </c>
      <c r="J30" s="38">
        <f t="shared" si="20"/>
        <v>5.5985233325969636E-2</v>
      </c>
    </row>
    <row r="31" spans="1:16" x14ac:dyDescent="0.25">
      <c r="A31" s="36" t="s">
        <v>125</v>
      </c>
      <c r="B31" s="37" t="s">
        <v>34</v>
      </c>
      <c r="C31" s="37">
        <v>41.72</v>
      </c>
      <c r="D31" s="37">
        <v>103.93</v>
      </c>
      <c r="E31" s="37">
        <v>5.94</v>
      </c>
      <c r="F31" s="37">
        <v>3.62</v>
      </c>
      <c r="G31" s="37">
        <v>0.86</v>
      </c>
      <c r="H31" s="37"/>
      <c r="I31" s="37">
        <f t="shared" si="19"/>
        <v>8.7438810084330285</v>
      </c>
      <c r="J31" s="38">
        <f t="shared" si="20"/>
        <v>5.6025379691375839E-2</v>
      </c>
    </row>
    <row r="32" spans="1:16" x14ac:dyDescent="0.25">
      <c r="A32" s="36" t="s">
        <v>16</v>
      </c>
      <c r="B32" s="37" t="s">
        <v>35</v>
      </c>
      <c r="C32" s="37">
        <v>41.69</v>
      </c>
      <c r="D32" s="37">
        <v>103.89</v>
      </c>
      <c r="E32" s="37">
        <v>5.93</v>
      </c>
      <c r="F32" s="37">
        <v>3.65</v>
      </c>
      <c r="G32" s="37">
        <v>0.86</v>
      </c>
      <c r="H32" s="37">
        <v>0.71799999999999997</v>
      </c>
      <c r="I32" s="37">
        <f>C32*$G$24+E32*$O$24+H32+F32*50/1000*0.41+G32*50/1000*0.14</f>
        <v>9.4560789123075821</v>
      </c>
      <c r="J32" s="38">
        <f t="shared" si="20"/>
        <v>6.033048088088136E-2</v>
      </c>
      <c r="L32" s="3"/>
    </row>
    <row r="33" spans="1:10" x14ac:dyDescent="0.25">
      <c r="A33" s="36" t="s">
        <v>16</v>
      </c>
      <c r="B33" s="37" t="s">
        <v>36</v>
      </c>
      <c r="C33" s="37">
        <v>41.71</v>
      </c>
      <c r="D33" s="37">
        <v>103.84</v>
      </c>
      <c r="E33" s="37">
        <v>5.95</v>
      </c>
      <c r="F33" s="37">
        <v>3.65</v>
      </c>
      <c r="G33" s="37">
        <v>0.86</v>
      </c>
      <c r="H33" s="37">
        <v>0.72199999999999998</v>
      </c>
      <c r="I33" s="37">
        <f t="shared" si="19"/>
        <v>9.4647927766757647</v>
      </c>
      <c r="J33" s="38">
        <f t="shared" si="20"/>
        <v>6.0388387672432965E-2</v>
      </c>
    </row>
    <row r="34" spans="1:10" x14ac:dyDescent="0.25">
      <c r="A34" s="36" t="s">
        <v>126</v>
      </c>
      <c r="B34" s="37" t="s">
        <v>37</v>
      </c>
      <c r="C34" s="37">
        <v>41.66</v>
      </c>
      <c r="D34" s="37">
        <v>103.9</v>
      </c>
      <c r="E34" s="37">
        <v>5.94</v>
      </c>
      <c r="F34" s="37">
        <v>3.65</v>
      </c>
      <c r="G34" s="37">
        <v>0.85</v>
      </c>
      <c r="H34" s="37"/>
      <c r="I34" s="37">
        <f t="shared" si="19"/>
        <v>8.7322455166089679</v>
      </c>
      <c r="J34" s="38">
        <f t="shared" si="20"/>
        <v>5.5975932798775434E-2</v>
      </c>
    </row>
    <row r="35" spans="1:10" x14ac:dyDescent="0.25">
      <c r="A35" s="36" t="s">
        <v>126</v>
      </c>
      <c r="B35" s="37" t="s">
        <v>38</v>
      </c>
      <c r="C35" s="37">
        <v>41.68</v>
      </c>
      <c r="D35" s="37">
        <v>103.85</v>
      </c>
      <c r="E35" s="37">
        <v>5.96</v>
      </c>
      <c r="F35" s="37">
        <v>3.63</v>
      </c>
      <c r="G35" s="37">
        <v>0.86</v>
      </c>
      <c r="H35" s="37"/>
      <c r="I35" s="37">
        <f t="shared" si="19"/>
        <v>8.7366193809771495</v>
      </c>
      <c r="J35" s="38">
        <f t="shared" si="20"/>
        <v>5.6011151307713482E-2</v>
      </c>
    </row>
    <row r="36" spans="1:10" x14ac:dyDescent="0.25">
      <c r="A36" s="36" t="s">
        <v>17</v>
      </c>
      <c r="B36" s="37" t="s">
        <v>39</v>
      </c>
      <c r="C36" s="37">
        <v>41.71</v>
      </c>
      <c r="D36" s="37">
        <v>103.88</v>
      </c>
      <c r="E36" s="37">
        <v>5.94</v>
      </c>
      <c r="F36" s="37">
        <v>3.63</v>
      </c>
      <c r="G36" s="37">
        <v>0.86</v>
      </c>
      <c r="H36" s="37">
        <v>1.6930000000000001</v>
      </c>
      <c r="I36" s="37">
        <f t="shared" si="19"/>
        <v>10.435055926462351</v>
      </c>
      <c r="J36" s="38">
        <f t="shared" si="20"/>
        <v>6.6164843268864001E-2</v>
      </c>
    </row>
    <row r="37" spans="1:10" x14ac:dyDescent="0.25">
      <c r="A37" s="36" t="s">
        <v>17</v>
      </c>
      <c r="B37" s="37" t="s">
        <v>40</v>
      </c>
      <c r="C37" s="37">
        <v>41.66</v>
      </c>
      <c r="D37" s="37">
        <v>103.85</v>
      </c>
      <c r="E37" s="37">
        <v>5.94</v>
      </c>
      <c r="F37" s="37">
        <v>3.65</v>
      </c>
      <c r="G37" s="37">
        <v>0.86</v>
      </c>
      <c r="H37" s="37">
        <v>1.6910000000000001</v>
      </c>
      <c r="I37" s="37">
        <f t="shared" si="19"/>
        <v>10.423315516608968</v>
      </c>
      <c r="J37" s="38">
        <f t="shared" si="20"/>
        <v>6.6116393277612998E-2</v>
      </c>
    </row>
    <row r="38" spans="1:10" x14ac:dyDescent="0.25">
      <c r="A38" s="36" t="s">
        <v>127</v>
      </c>
      <c r="B38" s="37" t="s">
        <v>41</v>
      </c>
      <c r="C38" s="37">
        <v>41.66</v>
      </c>
      <c r="D38" s="37">
        <v>103.86</v>
      </c>
      <c r="E38" s="37">
        <v>5.95</v>
      </c>
      <c r="F38" s="37">
        <v>3.65</v>
      </c>
      <c r="G38" s="37">
        <v>0.86</v>
      </c>
      <c r="H38" s="37"/>
      <c r="I38" s="37">
        <f t="shared" si="19"/>
        <v>8.7326423668223807</v>
      </c>
      <c r="J38" s="38">
        <f t="shared" si="20"/>
        <v>5.5985654358394546E-2</v>
      </c>
    </row>
    <row r="39" spans="1:10" x14ac:dyDescent="0.25">
      <c r="A39" s="36" t="s">
        <v>127</v>
      </c>
      <c r="B39" s="37" t="s">
        <v>42</v>
      </c>
      <c r="C39" s="37">
        <v>41.69</v>
      </c>
      <c r="D39" s="37">
        <v>103.84</v>
      </c>
      <c r="E39" s="37">
        <v>5.98</v>
      </c>
      <c r="F39" s="37">
        <v>3.66</v>
      </c>
      <c r="G39" s="37">
        <v>0.85</v>
      </c>
      <c r="H39" s="37"/>
      <c r="I39" s="37">
        <f t="shared" si="19"/>
        <v>8.7398481633746581</v>
      </c>
      <c r="J39" s="38">
        <f t="shared" si="20"/>
        <v>5.601748598496769E-2</v>
      </c>
    </row>
    <row r="40" spans="1:10" x14ac:dyDescent="0.25">
      <c r="A40" s="36" t="s">
        <v>46</v>
      </c>
      <c r="B40" s="37" t="s">
        <v>43</v>
      </c>
      <c r="C40" s="37">
        <v>41.64</v>
      </c>
      <c r="D40" s="37">
        <v>103.87</v>
      </c>
      <c r="E40" s="37">
        <v>5.94</v>
      </c>
      <c r="F40" s="37">
        <v>3.64</v>
      </c>
      <c r="G40" s="37">
        <v>0.86</v>
      </c>
      <c r="H40" s="37"/>
      <c r="I40" s="37">
        <f t="shared" si="19"/>
        <v>8.7280503526676121</v>
      </c>
      <c r="J40" s="38">
        <f t="shared" si="20"/>
        <v>5.5966978856477161E-2</v>
      </c>
    </row>
    <row r="41" spans="1:10" ht="15.75" thickBot="1" x14ac:dyDescent="0.3">
      <c r="A41" s="39" t="s">
        <v>46</v>
      </c>
      <c r="B41" s="40" t="s">
        <v>44</v>
      </c>
      <c r="C41" s="40">
        <v>41.66</v>
      </c>
      <c r="D41" s="40">
        <v>103.86</v>
      </c>
      <c r="E41" s="40">
        <v>6</v>
      </c>
      <c r="F41" s="40">
        <v>3.65</v>
      </c>
      <c r="G41" s="40">
        <v>0.86</v>
      </c>
      <c r="H41" s="40"/>
      <c r="I41" s="40">
        <f t="shared" si="19"/>
        <v>8.7342766178894582</v>
      </c>
      <c r="J41" s="41">
        <f t="shared" si="20"/>
        <v>5.5978187642693446E-2</v>
      </c>
    </row>
  </sheetData>
  <mergeCells count="2">
    <mergeCell ref="A17:C17"/>
    <mergeCell ref="A1:C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4"/>
  <sheetViews>
    <sheetView workbookViewId="0">
      <selection activeCell="I15" sqref="I15"/>
    </sheetView>
  </sheetViews>
  <sheetFormatPr defaultRowHeight="15" x14ac:dyDescent="0.25"/>
  <cols>
    <col min="3" max="3" width="12.140625" customWidth="1"/>
    <col min="4" max="4" width="17" customWidth="1"/>
    <col min="5" max="5" width="12.7109375" customWidth="1"/>
    <col min="9" max="9" width="11.5703125" customWidth="1"/>
    <col min="12" max="12" width="14.85546875" customWidth="1"/>
    <col min="19" max="19" width="10" bestFit="1" customWidth="1"/>
  </cols>
  <sheetData>
    <row r="1" spans="1:12" x14ac:dyDescent="0.25">
      <c r="A1" s="3"/>
      <c r="E1" s="3" t="s">
        <v>72</v>
      </c>
      <c r="F1" s="17">
        <v>0.98839999999999995</v>
      </c>
    </row>
    <row r="2" spans="1:12" x14ac:dyDescent="0.25">
      <c r="C2" t="s">
        <v>73</v>
      </c>
      <c r="E2" s="3" t="s">
        <v>74</v>
      </c>
      <c r="F2" s="3">
        <v>1.052</v>
      </c>
      <c r="K2" s="4" t="s">
        <v>113</v>
      </c>
      <c r="L2" s="4" t="s">
        <v>83</v>
      </c>
    </row>
    <row r="3" spans="1:12" x14ac:dyDescent="0.25">
      <c r="A3" t="s">
        <v>75</v>
      </c>
      <c r="B3" t="s">
        <v>76</v>
      </c>
      <c r="C3" t="s">
        <v>77</v>
      </c>
      <c r="D3" t="s">
        <v>78</v>
      </c>
      <c r="E3" t="s">
        <v>79</v>
      </c>
      <c r="F3" t="s">
        <v>80</v>
      </c>
      <c r="G3" t="s">
        <v>81</v>
      </c>
      <c r="K3" s="4" t="s">
        <v>85</v>
      </c>
      <c r="L3" s="4" t="s">
        <v>123</v>
      </c>
    </row>
    <row r="4" spans="1:12" x14ac:dyDescent="0.25">
      <c r="A4" t="s">
        <v>82</v>
      </c>
      <c r="B4">
        <v>30</v>
      </c>
      <c r="C4">
        <v>0.01</v>
      </c>
      <c r="D4">
        <f>(C4-$C$4)*14*0.25*$F$1*1000/B4</f>
        <v>0</v>
      </c>
      <c r="E4">
        <f t="shared" ref="E4:E14" si="0">D4/14*18</f>
        <v>0</v>
      </c>
      <c r="F4" s="18">
        <f>E4/1000</f>
        <v>0</v>
      </c>
      <c r="K4" s="1" t="s">
        <v>86</v>
      </c>
      <c r="L4" s="24">
        <f>AVERAGE(D7:D8)/1000</f>
        <v>0.16605119999999998</v>
      </c>
    </row>
    <row r="5" spans="1:12" x14ac:dyDescent="0.25">
      <c r="A5" t="s">
        <v>84</v>
      </c>
      <c r="B5">
        <v>10</v>
      </c>
      <c r="C5">
        <v>2.85</v>
      </c>
      <c r="D5">
        <f>(C5-$C$4)*14*0.25*$F$1*1000/B5</f>
        <v>982.46960000000013</v>
      </c>
      <c r="E5">
        <f t="shared" si="0"/>
        <v>1263.1752000000004</v>
      </c>
      <c r="F5" s="18">
        <f t="shared" ref="F5:F14" si="1">E5/1000</f>
        <v>1.2631752000000003</v>
      </c>
      <c r="G5" s="19">
        <f>($F$2*1000-D5)/($F$2*1000)</f>
        <v>6.6093536121672888E-2</v>
      </c>
      <c r="H5" s="32">
        <f>AVERAGE(G5:G6)</f>
        <v>6.7737737642585477E-2</v>
      </c>
      <c r="K5" s="1" t="s">
        <v>88</v>
      </c>
      <c r="L5" s="24">
        <f>AVERAGE(D9:D10)/1000</f>
        <v>0.415128</v>
      </c>
    </row>
    <row r="6" spans="1:12" x14ac:dyDescent="0.25">
      <c r="A6" t="s">
        <v>84</v>
      </c>
      <c r="B6">
        <v>10</v>
      </c>
      <c r="C6">
        <v>2.84</v>
      </c>
      <c r="D6">
        <f>(C6-$C$4)*14*0.25*$F$1*1000/B6</f>
        <v>979.01020000000005</v>
      </c>
      <c r="E6">
        <f t="shared" si="0"/>
        <v>1258.7274</v>
      </c>
      <c r="F6" s="18">
        <f t="shared" si="1"/>
        <v>1.2587273999999999</v>
      </c>
      <c r="G6" s="19">
        <f>($F$2*1000-D6)/($F$2*1000)</f>
        <v>6.9381939163498052E-2</v>
      </c>
      <c r="H6" s="32"/>
      <c r="K6" s="1" t="s">
        <v>90</v>
      </c>
      <c r="L6" s="24">
        <f>AVERAGE(D11:D12)/1000</f>
        <v>0.98246959999999983</v>
      </c>
    </row>
    <row r="7" spans="1:12" x14ac:dyDescent="0.25">
      <c r="A7" t="s">
        <v>87</v>
      </c>
      <c r="B7">
        <v>2.5</v>
      </c>
      <c r="F7" s="18"/>
      <c r="K7" s="1" t="s">
        <v>46</v>
      </c>
      <c r="L7" s="24">
        <f>AVERAGE(D13:D14)/1000</f>
        <v>9.686320000000001E-2</v>
      </c>
    </row>
    <row r="8" spans="1:12" x14ac:dyDescent="0.25">
      <c r="A8" t="s">
        <v>89</v>
      </c>
      <c r="B8">
        <v>2.5</v>
      </c>
      <c r="C8">
        <v>0.13</v>
      </c>
      <c r="D8">
        <f t="shared" ref="D8:D14" si="2">(C8-$C$4)*14*0.25*$F$1*1000/B8</f>
        <v>166.05119999999999</v>
      </c>
      <c r="E8">
        <f t="shared" si="0"/>
        <v>213.49439999999998</v>
      </c>
      <c r="F8" s="18">
        <f t="shared" si="1"/>
        <v>0.21349439999999997</v>
      </c>
    </row>
    <row r="9" spans="1:12" x14ac:dyDescent="0.25">
      <c r="A9" t="s">
        <v>91</v>
      </c>
      <c r="B9">
        <v>2.5</v>
      </c>
      <c r="C9">
        <v>0.31</v>
      </c>
      <c r="D9">
        <f t="shared" si="2"/>
        <v>415.12799999999999</v>
      </c>
      <c r="E9">
        <f t="shared" si="0"/>
        <v>533.73599999999999</v>
      </c>
      <c r="F9" s="18">
        <f t="shared" si="1"/>
        <v>0.53373599999999999</v>
      </c>
      <c r="K9" t="s">
        <v>93</v>
      </c>
    </row>
    <row r="10" spans="1:12" x14ac:dyDescent="0.25">
      <c r="A10" t="s">
        <v>92</v>
      </c>
      <c r="B10">
        <v>2.5</v>
      </c>
      <c r="C10">
        <v>0.31</v>
      </c>
      <c r="D10">
        <f t="shared" si="2"/>
        <v>415.12799999999999</v>
      </c>
      <c r="E10">
        <f t="shared" si="0"/>
        <v>533.73599999999999</v>
      </c>
      <c r="F10" s="18">
        <f t="shared" si="1"/>
        <v>0.53373599999999999</v>
      </c>
      <c r="K10" s="25" t="s">
        <v>113</v>
      </c>
      <c r="L10" s="25" t="s">
        <v>83</v>
      </c>
    </row>
    <row r="11" spans="1:12" x14ac:dyDescent="0.25">
      <c r="A11" t="s">
        <v>94</v>
      </c>
      <c r="B11">
        <v>2.5</v>
      </c>
      <c r="C11">
        <v>0.69</v>
      </c>
      <c r="D11">
        <f t="shared" si="2"/>
        <v>940.9567999999997</v>
      </c>
      <c r="E11">
        <f t="shared" si="0"/>
        <v>1209.8015999999996</v>
      </c>
      <c r="F11" s="18">
        <f t="shared" si="1"/>
        <v>1.2098015999999996</v>
      </c>
      <c r="G11" s="20"/>
      <c r="K11" s="25" t="s">
        <v>85</v>
      </c>
      <c r="L11" s="25" t="s">
        <v>123</v>
      </c>
    </row>
    <row r="12" spans="1:12" x14ac:dyDescent="0.25">
      <c r="A12" t="s">
        <v>95</v>
      </c>
      <c r="B12">
        <v>2.5</v>
      </c>
      <c r="C12">
        <v>0.75</v>
      </c>
      <c r="D12">
        <f t="shared" si="2"/>
        <v>1023.9823999999999</v>
      </c>
      <c r="E12">
        <f t="shared" si="0"/>
        <v>1316.5488</v>
      </c>
      <c r="F12" s="18">
        <f t="shared" si="1"/>
        <v>1.3165488000000001</v>
      </c>
      <c r="G12" s="20"/>
      <c r="K12" s="26" t="s">
        <v>86</v>
      </c>
      <c r="L12" s="27">
        <f>L4+L4*$H$5</f>
        <v>0.17729913262083646</v>
      </c>
    </row>
    <row r="13" spans="1:12" x14ac:dyDescent="0.25">
      <c r="A13" t="s">
        <v>96</v>
      </c>
      <c r="B13">
        <v>2.5</v>
      </c>
      <c r="C13">
        <v>0.09</v>
      </c>
      <c r="D13">
        <f t="shared" si="2"/>
        <v>110.7008</v>
      </c>
      <c r="E13">
        <f t="shared" si="0"/>
        <v>142.3296</v>
      </c>
      <c r="F13" s="18">
        <f t="shared" si="1"/>
        <v>0.1423296</v>
      </c>
      <c r="G13" s="20"/>
      <c r="K13" s="26" t="s">
        <v>88</v>
      </c>
      <c r="L13" s="27">
        <f>L5+L5*$H$5</f>
        <v>0.44324783155209124</v>
      </c>
    </row>
    <row r="14" spans="1:12" x14ac:dyDescent="0.25">
      <c r="A14" t="s">
        <v>97</v>
      </c>
      <c r="B14">
        <v>2.5</v>
      </c>
      <c r="C14">
        <v>7.0000000000000007E-2</v>
      </c>
      <c r="D14">
        <f t="shared" si="2"/>
        <v>83.025599999999997</v>
      </c>
      <c r="E14">
        <f t="shared" si="0"/>
        <v>106.74719999999999</v>
      </c>
      <c r="F14" s="18">
        <f t="shared" si="1"/>
        <v>0.10674719999999999</v>
      </c>
      <c r="G14" s="20"/>
      <c r="K14" s="26" t="s">
        <v>90</v>
      </c>
      <c r="L14" s="27">
        <f>L6+L6*$H$5</f>
        <v>1.0490198680066156</v>
      </c>
    </row>
    <row r="15" spans="1:12" x14ac:dyDescent="0.25">
      <c r="F15" s="18"/>
      <c r="K15" s="26" t="s">
        <v>46</v>
      </c>
      <c r="L15" s="27">
        <f>L7+L7*$H$5</f>
        <v>0.1034244940288213</v>
      </c>
    </row>
    <row r="16" spans="1:12" x14ac:dyDescent="0.25">
      <c r="F16" s="18"/>
    </row>
    <row r="17" spans="5:19" x14ac:dyDescent="0.25">
      <c r="E17" s="18"/>
      <c r="F17" s="19"/>
      <c r="K17" s="28" t="s">
        <v>124</v>
      </c>
      <c r="L17" s="28"/>
    </row>
    <row r="18" spans="5:19" x14ac:dyDescent="0.25">
      <c r="E18" s="18"/>
      <c r="F18" s="19"/>
      <c r="K18" s="28" t="s">
        <v>85</v>
      </c>
      <c r="L18" s="28" t="s">
        <v>123</v>
      </c>
    </row>
    <row r="19" spans="5:19" x14ac:dyDescent="0.25">
      <c r="E19" s="3"/>
      <c r="F19" s="17"/>
      <c r="K19" s="29" t="s">
        <v>86</v>
      </c>
      <c r="L19" s="30">
        <f>(L12-$L$15)/'set up'!T6</f>
        <v>0.16408034828136608</v>
      </c>
    </row>
    <row r="20" spans="5:19" x14ac:dyDescent="0.25">
      <c r="E20" s="3"/>
      <c r="F20" s="3"/>
      <c r="K20" s="29" t="s">
        <v>88</v>
      </c>
      <c r="L20" s="30">
        <f>(L13-$L$15)/'set up'!T7</f>
        <v>0.15095392041885686</v>
      </c>
    </row>
    <row r="21" spans="5:19" x14ac:dyDescent="0.25">
      <c r="K21" s="29" t="s">
        <v>90</v>
      </c>
      <c r="L21" s="30">
        <f>(L14-$L$15)/'set up'!T8</f>
        <v>0.1800195821144131</v>
      </c>
    </row>
    <row r="22" spans="5:19" x14ac:dyDescent="0.25">
      <c r="F22" s="18"/>
      <c r="L22" s="18"/>
      <c r="M22" s="18"/>
      <c r="N22" s="18"/>
      <c r="O22" s="18"/>
      <c r="P22" s="18"/>
      <c r="Q22" s="18"/>
      <c r="R22" s="18"/>
      <c r="S22" s="18"/>
    </row>
    <row r="23" spans="5:19" x14ac:dyDescent="0.25">
      <c r="F23" s="18"/>
    </row>
    <row r="24" spans="5:19" x14ac:dyDescent="0.25">
      <c r="F24" s="18"/>
    </row>
    <row r="25" spans="5:19" x14ac:dyDescent="0.25">
      <c r="F25" s="18"/>
    </row>
    <row r="26" spans="5:19" x14ac:dyDescent="0.25">
      <c r="F26" s="18"/>
    </row>
    <row r="27" spans="5:19" x14ac:dyDescent="0.25">
      <c r="F27" s="18"/>
    </row>
    <row r="28" spans="5:19" x14ac:dyDescent="0.25">
      <c r="F28" s="18"/>
    </row>
    <row r="29" spans="5:19" x14ac:dyDescent="0.25">
      <c r="F29" s="18"/>
    </row>
    <row r="30" spans="5:19" x14ac:dyDescent="0.25">
      <c r="F30" s="18"/>
    </row>
    <row r="31" spans="5:19" x14ac:dyDescent="0.25">
      <c r="F31" s="18"/>
    </row>
    <row r="32" spans="5:19" x14ac:dyDescent="0.25">
      <c r="F32" s="18"/>
    </row>
    <row r="33" spans="5:6" x14ac:dyDescent="0.25">
      <c r="E33" s="3"/>
      <c r="F33" s="17"/>
    </row>
    <row r="34" spans="5:6" x14ac:dyDescent="0.25">
      <c r="E34" s="3"/>
      <c r="F34" s="3"/>
    </row>
    <row r="36" spans="5:6" x14ac:dyDescent="0.25">
      <c r="F36" s="18"/>
    </row>
    <row r="37" spans="5:6" x14ac:dyDescent="0.25">
      <c r="F37" s="18"/>
    </row>
    <row r="38" spans="5:6" x14ac:dyDescent="0.25">
      <c r="F38" s="18"/>
    </row>
    <row r="39" spans="5:6" x14ac:dyDescent="0.25">
      <c r="F39" s="18"/>
    </row>
    <row r="40" spans="5:6" x14ac:dyDescent="0.25">
      <c r="F40" s="18"/>
    </row>
    <row r="41" spans="5:6" x14ac:dyDescent="0.25">
      <c r="F41" s="18"/>
    </row>
    <row r="42" spans="5:6" x14ac:dyDescent="0.25">
      <c r="F42" s="18"/>
    </row>
    <row r="43" spans="5:6" x14ac:dyDescent="0.25">
      <c r="F43" s="18"/>
    </row>
    <row r="44" spans="5:6" x14ac:dyDescent="0.25">
      <c r="F44" s="18"/>
    </row>
  </sheetData>
  <mergeCells count="1">
    <mergeCell ref="H5:H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8"/>
  <sheetViews>
    <sheetView workbookViewId="0">
      <selection activeCell="V11" sqref="V11"/>
    </sheetView>
  </sheetViews>
  <sheetFormatPr defaultRowHeight="15" x14ac:dyDescent="0.25"/>
  <cols>
    <col min="1" max="1" width="26" customWidth="1"/>
  </cols>
  <sheetData>
    <row r="1" spans="1:9" ht="15.75" thickBot="1" x14ac:dyDescent="0.3"/>
    <row r="2" spans="1:9" x14ac:dyDescent="0.25">
      <c r="A2" s="45" t="s">
        <v>30</v>
      </c>
      <c r="B2" s="46">
        <v>0</v>
      </c>
      <c r="C2" s="46">
        <v>1</v>
      </c>
      <c r="D2" s="46">
        <v>2</v>
      </c>
      <c r="E2" s="46">
        <v>3</v>
      </c>
      <c r="F2" s="46">
        <v>4</v>
      </c>
      <c r="G2" s="46">
        <v>5</v>
      </c>
      <c r="H2" s="46">
        <v>6</v>
      </c>
      <c r="I2" s="47">
        <v>7</v>
      </c>
    </row>
    <row r="3" spans="1:9" x14ac:dyDescent="0.25">
      <c r="A3" s="49" t="s">
        <v>31</v>
      </c>
      <c r="B3" s="50">
        <v>4</v>
      </c>
      <c r="C3" s="37">
        <v>3.94</v>
      </c>
      <c r="D3" s="37">
        <v>3.98</v>
      </c>
      <c r="E3" s="37">
        <v>3.93</v>
      </c>
      <c r="F3" s="37">
        <v>3.96</v>
      </c>
      <c r="G3" s="37">
        <v>4.0199999999999996</v>
      </c>
      <c r="H3" s="37">
        <v>4.04</v>
      </c>
      <c r="I3" s="51">
        <v>4.16</v>
      </c>
    </row>
    <row r="4" spans="1:9" x14ac:dyDescent="0.25">
      <c r="A4" s="49" t="s">
        <v>32</v>
      </c>
      <c r="B4" s="50">
        <v>3.88</v>
      </c>
      <c r="C4" s="37">
        <v>3.77</v>
      </c>
      <c r="D4" s="37">
        <v>3.81</v>
      </c>
      <c r="E4" s="37">
        <v>3.74</v>
      </c>
      <c r="F4" s="37">
        <v>3.76</v>
      </c>
      <c r="G4" s="37">
        <v>3.81</v>
      </c>
      <c r="H4" s="37">
        <v>3.82</v>
      </c>
      <c r="I4" s="51">
        <v>3.94</v>
      </c>
    </row>
    <row r="5" spans="1:9" x14ac:dyDescent="0.25">
      <c r="A5" s="49" t="s">
        <v>33</v>
      </c>
      <c r="B5" s="50">
        <v>3.9</v>
      </c>
      <c r="C5" s="37">
        <v>3.82</v>
      </c>
      <c r="D5" s="37">
        <v>3.85</v>
      </c>
      <c r="E5" s="37">
        <v>3.77</v>
      </c>
      <c r="F5" s="37">
        <v>3.8</v>
      </c>
      <c r="G5" s="37">
        <v>3.84</v>
      </c>
      <c r="H5" s="37">
        <v>3.88</v>
      </c>
      <c r="I5" s="51">
        <v>4</v>
      </c>
    </row>
    <row r="6" spans="1:9" x14ac:dyDescent="0.25">
      <c r="A6" s="49" t="s">
        <v>34</v>
      </c>
      <c r="B6" s="50">
        <v>3.88</v>
      </c>
      <c r="C6" s="37">
        <v>3.84</v>
      </c>
      <c r="D6" s="37">
        <v>3.87</v>
      </c>
      <c r="E6" s="37">
        <v>3.81</v>
      </c>
      <c r="F6" s="37">
        <v>3.84</v>
      </c>
      <c r="G6" s="37">
        <v>3.87</v>
      </c>
      <c r="H6" s="37">
        <v>3.87</v>
      </c>
      <c r="I6" s="51">
        <v>4.03</v>
      </c>
    </row>
    <row r="7" spans="1:9" x14ac:dyDescent="0.25">
      <c r="A7" s="49" t="s">
        <v>35</v>
      </c>
      <c r="B7" s="50">
        <v>3.94</v>
      </c>
      <c r="C7" s="37">
        <v>3.84</v>
      </c>
      <c r="D7" s="37">
        <v>3.92</v>
      </c>
      <c r="E7" s="37">
        <v>3.8</v>
      </c>
      <c r="F7" s="37">
        <v>3.83</v>
      </c>
      <c r="G7" s="37">
        <v>3.91</v>
      </c>
      <c r="H7" s="37">
        <v>3.87</v>
      </c>
      <c r="I7" s="51">
        <v>4.03</v>
      </c>
    </row>
    <row r="8" spans="1:9" x14ac:dyDescent="0.25">
      <c r="A8" s="49" t="s">
        <v>36</v>
      </c>
      <c r="B8" s="50">
        <v>3.79</v>
      </c>
      <c r="C8" s="37">
        <v>3.74</v>
      </c>
      <c r="D8" s="37">
        <v>3.79</v>
      </c>
      <c r="E8" s="37">
        <v>3.69</v>
      </c>
      <c r="F8" s="37">
        <v>3.72</v>
      </c>
      <c r="G8" s="37">
        <v>3.79</v>
      </c>
      <c r="H8" s="37">
        <v>3.78</v>
      </c>
      <c r="I8" s="51">
        <v>3.91</v>
      </c>
    </row>
    <row r="9" spans="1:9" x14ac:dyDescent="0.25">
      <c r="A9" s="49" t="s">
        <v>37</v>
      </c>
      <c r="B9" s="50">
        <v>4</v>
      </c>
      <c r="C9" s="37">
        <v>3.9</v>
      </c>
      <c r="D9" s="37">
        <v>3.94</v>
      </c>
      <c r="E9" s="37">
        <v>3.8</v>
      </c>
      <c r="F9" s="37">
        <v>3.83</v>
      </c>
      <c r="G9" s="37">
        <v>3.87</v>
      </c>
      <c r="H9" s="37">
        <v>3.87</v>
      </c>
      <c r="I9" s="51">
        <v>3.92</v>
      </c>
    </row>
    <row r="10" spans="1:9" x14ac:dyDescent="0.25">
      <c r="A10" s="49" t="s">
        <v>38</v>
      </c>
      <c r="B10" s="50">
        <v>4.1900000000000004</v>
      </c>
      <c r="C10" s="37">
        <v>3.93</v>
      </c>
      <c r="D10" s="37">
        <v>3.97</v>
      </c>
      <c r="E10" s="37">
        <v>3.89</v>
      </c>
      <c r="F10" s="37">
        <v>3.9</v>
      </c>
      <c r="G10" s="37">
        <v>3.9</v>
      </c>
      <c r="H10" s="37">
        <v>3.9</v>
      </c>
      <c r="I10" s="51">
        <v>4.07</v>
      </c>
    </row>
    <row r="11" spans="1:9" x14ac:dyDescent="0.25">
      <c r="A11" s="49" t="s">
        <v>39</v>
      </c>
      <c r="B11" s="50">
        <v>4.3</v>
      </c>
      <c r="C11" s="37">
        <v>3.96</v>
      </c>
      <c r="D11" s="37">
        <v>3.97</v>
      </c>
      <c r="E11" s="37">
        <v>3.9</v>
      </c>
      <c r="F11" s="37">
        <v>3.94</v>
      </c>
      <c r="G11" s="37">
        <v>4.0199999999999996</v>
      </c>
      <c r="H11" s="37">
        <v>3.97</v>
      </c>
      <c r="I11" s="51">
        <v>4.08</v>
      </c>
    </row>
    <row r="12" spans="1:9" x14ac:dyDescent="0.25">
      <c r="A12" s="49" t="s">
        <v>40</v>
      </c>
      <c r="B12" s="50">
        <v>4.2</v>
      </c>
      <c r="C12" s="37">
        <v>3.92</v>
      </c>
      <c r="D12" s="37">
        <v>3.92</v>
      </c>
      <c r="E12" s="37">
        <v>3.82</v>
      </c>
      <c r="F12" s="37">
        <v>3.89</v>
      </c>
      <c r="G12" s="37">
        <v>3.96</v>
      </c>
      <c r="H12" s="37">
        <v>3.97</v>
      </c>
      <c r="I12" s="51">
        <v>4.08</v>
      </c>
    </row>
    <row r="13" spans="1:9" x14ac:dyDescent="0.25">
      <c r="A13" s="49" t="s">
        <v>41</v>
      </c>
      <c r="B13" s="50">
        <v>4.26</v>
      </c>
      <c r="C13" s="37">
        <v>3.96</v>
      </c>
      <c r="D13" s="37">
        <v>4.03</v>
      </c>
      <c r="E13" s="37">
        <v>3.94</v>
      </c>
      <c r="F13" s="37">
        <v>3.91</v>
      </c>
      <c r="G13" s="37">
        <v>3.99</v>
      </c>
      <c r="H13" s="37">
        <v>4.0599999999999996</v>
      </c>
      <c r="I13" s="51">
        <v>4.1500000000000004</v>
      </c>
    </row>
    <row r="14" spans="1:9" x14ac:dyDescent="0.25">
      <c r="A14" s="49" t="s">
        <v>42</v>
      </c>
      <c r="B14" s="50">
        <v>4.25</v>
      </c>
      <c r="C14" s="37">
        <v>3.99</v>
      </c>
      <c r="D14" s="37">
        <v>3.96</v>
      </c>
      <c r="E14" s="37">
        <v>3.88</v>
      </c>
      <c r="F14" s="37">
        <v>3.92</v>
      </c>
      <c r="G14" s="37">
        <v>3.96</v>
      </c>
      <c r="H14" s="37">
        <v>4</v>
      </c>
      <c r="I14" s="51">
        <v>4.0599999999999996</v>
      </c>
    </row>
    <row r="15" spans="1:9" x14ac:dyDescent="0.25">
      <c r="A15" s="49" t="s">
        <v>43</v>
      </c>
      <c r="B15" s="50">
        <v>4.34</v>
      </c>
      <c r="C15" s="37">
        <v>3.97</v>
      </c>
      <c r="D15" s="37">
        <v>4.03</v>
      </c>
      <c r="E15" s="37">
        <v>3.89</v>
      </c>
      <c r="F15" s="37">
        <v>3.92</v>
      </c>
      <c r="G15" s="37">
        <v>4</v>
      </c>
      <c r="H15" s="37">
        <v>4.07</v>
      </c>
      <c r="I15" s="51">
        <v>4.12</v>
      </c>
    </row>
    <row r="16" spans="1:9" ht="15.75" thickBot="1" x14ac:dyDescent="0.3">
      <c r="A16" s="52" t="s">
        <v>44</v>
      </c>
      <c r="B16" s="53">
        <v>4.29</v>
      </c>
      <c r="C16" s="40">
        <v>3.9</v>
      </c>
      <c r="D16" s="40">
        <v>3.94</v>
      </c>
      <c r="E16" s="40">
        <v>3.82</v>
      </c>
      <c r="F16" s="40">
        <v>3.84</v>
      </c>
      <c r="G16" s="40">
        <v>3.92</v>
      </c>
      <c r="H16" s="40">
        <v>4.0199999999999996</v>
      </c>
      <c r="I16" s="54">
        <v>4.1399999999999997</v>
      </c>
    </row>
    <row r="18" spans="1:9" ht="15.75" thickBot="1" x14ac:dyDescent="0.3"/>
    <row r="19" spans="1:9" x14ac:dyDescent="0.25">
      <c r="A19" s="45" t="s">
        <v>45</v>
      </c>
      <c r="B19" s="55">
        <v>0</v>
      </c>
      <c r="C19" s="55">
        <v>1</v>
      </c>
      <c r="D19" s="55">
        <v>2</v>
      </c>
      <c r="E19" s="55">
        <v>3</v>
      </c>
      <c r="F19" s="55">
        <v>4</v>
      </c>
      <c r="G19" s="55">
        <v>5</v>
      </c>
      <c r="H19" s="55">
        <v>6</v>
      </c>
      <c r="I19" s="56">
        <v>7</v>
      </c>
    </row>
    <row r="20" spans="1:9" x14ac:dyDescent="0.25">
      <c r="A20" s="49" t="s">
        <v>15</v>
      </c>
      <c r="B20" s="37">
        <f>AVERAGE(B3:B4)</f>
        <v>3.94</v>
      </c>
      <c r="C20" s="37">
        <f t="shared" ref="C20:I20" si="0">AVERAGE(C3:C4)</f>
        <v>3.855</v>
      </c>
      <c r="D20" s="37">
        <f t="shared" si="0"/>
        <v>3.895</v>
      </c>
      <c r="E20" s="37">
        <f t="shared" si="0"/>
        <v>3.835</v>
      </c>
      <c r="F20" s="37">
        <f t="shared" si="0"/>
        <v>3.86</v>
      </c>
      <c r="G20" s="37">
        <f t="shared" si="0"/>
        <v>3.915</v>
      </c>
      <c r="H20" s="37">
        <f t="shared" si="0"/>
        <v>3.9299999999999997</v>
      </c>
      <c r="I20" s="51">
        <f t="shared" si="0"/>
        <v>4.05</v>
      </c>
    </row>
    <row r="21" spans="1:9" x14ac:dyDescent="0.25">
      <c r="A21" s="49" t="s">
        <v>125</v>
      </c>
      <c r="B21" s="37">
        <f>AVERAGE(B5:B6)</f>
        <v>3.8899999999999997</v>
      </c>
      <c r="C21" s="37">
        <f>AVERAGE(C5:C6)</f>
        <v>3.83</v>
      </c>
      <c r="D21" s="37">
        <f t="shared" ref="D21:I21" si="1">AVERAGE(D5:D6)</f>
        <v>3.8600000000000003</v>
      </c>
      <c r="E21" s="37">
        <f t="shared" si="1"/>
        <v>3.79</v>
      </c>
      <c r="F21" s="37">
        <f t="shared" si="1"/>
        <v>3.82</v>
      </c>
      <c r="G21" s="37">
        <f t="shared" si="1"/>
        <v>3.855</v>
      </c>
      <c r="H21" s="37">
        <f t="shared" si="1"/>
        <v>3.875</v>
      </c>
      <c r="I21" s="51">
        <f t="shared" si="1"/>
        <v>4.0150000000000006</v>
      </c>
    </row>
    <row r="22" spans="1:9" x14ac:dyDescent="0.25">
      <c r="A22" s="49" t="s">
        <v>16</v>
      </c>
      <c r="B22" s="37">
        <f>AVERAGE(B7:B8)</f>
        <v>3.8650000000000002</v>
      </c>
      <c r="C22" s="37">
        <f t="shared" ref="C22:I22" si="2">AVERAGE(C7:C8)</f>
        <v>3.79</v>
      </c>
      <c r="D22" s="37">
        <f t="shared" si="2"/>
        <v>3.855</v>
      </c>
      <c r="E22" s="37">
        <f t="shared" si="2"/>
        <v>3.7450000000000001</v>
      </c>
      <c r="F22" s="37">
        <f t="shared" si="2"/>
        <v>3.7750000000000004</v>
      </c>
      <c r="G22" s="37">
        <f t="shared" si="2"/>
        <v>3.85</v>
      </c>
      <c r="H22" s="37">
        <f t="shared" si="2"/>
        <v>3.8250000000000002</v>
      </c>
      <c r="I22" s="51">
        <f t="shared" si="2"/>
        <v>3.97</v>
      </c>
    </row>
    <row r="23" spans="1:9" x14ac:dyDescent="0.25">
      <c r="A23" s="49" t="s">
        <v>126</v>
      </c>
      <c r="B23" s="37">
        <f>AVERAGE(B9:B10)</f>
        <v>4.0950000000000006</v>
      </c>
      <c r="C23" s="37">
        <f t="shared" ref="C23:H23" si="3">AVERAGE(C9:C10)</f>
        <v>3.915</v>
      </c>
      <c r="D23" s="37">
        <f t="shared" si="3"/>
        <v>3.9550000000000001</v>
      </c>
      <c r="E23" s="37">
        <f t="shared" si="3"/>
        <v>3.8449999999999998</v>
      </c>
      <c r="F23" s="37">
        <f t="shared" si="3"/>
        <v>3.8650000000000002</v>
      </c>
      <c r="G23" s="37">
        <f t="shared" si="3"/>
        <v>3.8849999999999998</v>
      </c>
      <c r="H23" s="37">
        <f t="shared" si="3"/>
        <v>3.8849999999999998</v>
      </c>
      <c r="I23" s="51">
        <f>AVERAGE(I9:I10)</f>
        <v>3.9950000000000001</v>
      </c>
    </row>
    <row r="24" spans="1:9" x14ac:dyDescent="0.25">
      <c r="A24" s="49" t="s">
        <v>17</v>
      </c>
      <c r="B24" s="37">
        <f>AVERAGE(B11:B12)</f>
        <v>4.25</v>
      </c>
      <c r="C24" s="37">
        <f t="shared" ref="C24:I24" si="4">AVERAGE(C11:C12)</f>
        <v>3.94</v>
      </c>
      <c r="D24" s="37">
        <f t="shared" si="4"/>
        <v>3.9450000000000003</v>
      </c>
      <c r="E24" s="37">
        <f t="shared" si="4"/>
        <v>3.86</v>
      </c>
      <c r="F24" s="37">
        <f t="shared" si="4"/>
        <v>3.915</v>
      </c>
      <c r="G24" s="37">
        <f t="shared" si="4"/>
        <v>3.9899999999999998</v>
      </c>
      <c r="H24" s="37">
        <f t="shared" si="4"/>
        <v>3.97</v>
      </c>
      <c r="I24" s="51">
        <f t="shared" si="4"/>
        <v>4.08</v>
      </c>
    </row>
    <row r="25" spans="1:9" x14ac:dyDescent="0.25">
      <c r="A25" s="49" t="s">
        <v>127</v>
      </c>
      <c r="B25" s="37">
        <f>AVERAGE(B13:B14)</f>
        <v>4.2549999999999999</v>
      </c>
      <c r="C25" s="37">
        <f t="shared" ref="C25:I25" si="5">AVERAGE(C13:C14)</f>
        <v>3.9750000000000001</v>
      </c>
      <c r="D25" s="37">
        <f t="shared" si="5"/>
        <v>3.9950000000000001</v>
      </c>
      <c r="E25" s="37">
        <f t="shared" si="5"/>
        <v>3.91</v>
      </c>
      <c r="F25" s="37">
        <f t="shared" si="5"/>
        <v>3.915</v>
      </c>
      <c r="G25" s="37">
        <f t="shared" si="5"/>
        <v>3.9750000000000001</v>
      </c>
      <c r="H25" s="37">
        <f t="shared" si="5"/>
        <v>4.0299999999999994</v>
      </c>
      <c r="I25" s="51">
        <f t="shared" si="5"/>
        <v>4.1050000000000004</v>
      </c>
    </row>
    <row r="26" spans="1:9" ht="15.75" thickBot="1" x14ac:dyDescent="0.3">
      <c r="A26" s="52" t="s">
        <v>46</v>
      </c>
      <c r="B26" s="40">
        <f>AVERAGE(B15:B16)</f>
        <v>4.3149999999999995</v>
      </c>
      <c r="C26" s="40">
        <f t="shared" ref="C26:H26" si="6">AVERAGE(C15:C16)</f>
        <v>3.9350000000000001</v>
      </c>
      <c r="D26" s="40">
        <f t="shared" si="6"/>
        <v>3.9850000000000003</v>
      </c>
      <c r="E26" s="40">
        <f t="shared" si="6"/>
        <v>3.855</v>
      </c>
      <c r="F26" s="40">
        <f t="shared" si="6"/>
        <v>3.88</v>
      </c>
      <c r="G26" s="40">
        <f t="shared" si="6"/>
        <v>3.96</v>
      </c>
      <c r="H26" s="40">
        <f t="shared" si="6"/>
        <v>4.0449999999999999</v>
      </c>
      <c r="I26" s="54">
        <f>AVERAGE(I15:I16)</f>
        <v>4.13</v>
      </c>
    </row>
    <row r="27" spans="1:9" ht="15.75" thickBot="1" x14ac:dyDescent="0.3"/>
    <row r="28" spans="1:9" ht="15.75" thickBot="1" x14ac:dyDescent="0.3">
      <c r="A28" s="4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5"/>
  <sheetViews>
    <sheetView workbookViewId="0">
      <selection activeCell="S29" sqref="S29"/>
    </sheetView>
  </sheetViews>
  <sheetFormatPr defaultRowHeight="15" x14ac:dyDescent="0.25"/>
  <cols>
    <col min="1" max="1" width="23.42578125" customWidth="1"/>
    <col min="3" max="3" width="12.7109375" bestFit="1" customWidth="1"/>
    <col min="4" max="4" width="12" bestFit="1" customWidth="1"/>
    <col min="7" max="8" width="12" bestFit="1" customWidth="1"/>
    <col min="10" max="10" width="13.140625" customWidth="1"/>
    <col min="12" max="12" width="11" bestFit="1" customWidth="1"/>
    <col min="17" max="17" width="7.5703125" customWidth="1"/>
  </cols>
  <sheetData>
    <row r="1" spans="1:17" ht="15.75" thickBot="1" x14ac:dyDescent="0.3">
      <c r="A1" s="3" t="s">
        <v>116</v>
      </c>
      <c r="B1" s="3"/>
      <c r="C1" s="3"/>
      <c r="D1" s="3"/>
      <c r="E1" s="3"/>
      <c r="F1" s="3"/>
      <c r="G1" s="3"/>
      <c r="H1" s="3"/>
      <c r="J1" s="3" t="s">
        <v>115</v>
      </c>
      <c r="K1" s="3"/>
      <c r="L1" s="3"/>
      <c r="M1" s="3"/>
      <c r="N1" s="3"/>
      <c r="O1" s="3"/>
      <c r="P1" s="3"/>
      <c r="Q1" s="3"/>
    </row>
    <row r="2" spans="1:17" x14ac:dyDescent="0.25">
      <c r="A2" s="45" t="s">
        <v>70</v>
      </c>
      <c r="B2" s="46">
        <v>0</v>
      </c>
      <c r="C2" s="46">
        <v>1</v>
      </c>
      <c r="D2" s="46">
        <v>2</v>
      </c>
      <c r="E2" s="46">
        <v>3</v>
      </c>
      <c r="F2" s="46">
        <v>4</v>
      </c>
      <c r="G2" s="46">
        <v>5</v>
      </c>
      <c r="H2" s="47">
        <v>6</v>
      </c>
      <c r="J2" s="45" t="s">
        <v>70</v>
      </c>
      <c r="K2" s="46">
        <v>0</v>
      </c>
      <c r="L2" s="46">
        <v>1</v>
      </c>
      <c r="M2" s="46">
        <v>2</v>
      </c>
      <c r="N2" s="46">
        <v>3</v>
      </c>
      <c r="O2" s="46">
        <v>4</v>
      </c>
      <c r="P2" s="46">
        <v>5</v>
      </c>
      <c r="Q2" s="47">
        <v>6</v>
      </c>
    </row>
    <row r="3" spans="1:17" x14ac:dyDescent="0.25">
      <c r="A3" s="49" t="s">
        <v>31</v>
      </c>
      <c r="B3" s="37">
        <v>0</v>
      </c>
      <c r="C3" s="37">
        <f>'VFA day 1'!$D$24/1000</f>
        <v>0.84736095854717208</v>
      </c>
      <c r="D3" s="37">
        <f>'VFA day 2'!$D$24/1000</f>
        <v>1.0277598338744718</v>
      </c>
      <c r="E3" s="37" t="e">
        <v>#N/A</v>
      </c>
      <c r="F3" s="37" t="e">
        <v>#N/A</v>
      </c>
      <c r="G3" s="37">
        <f>'VFA day 5'!$D$24/1000</f>
        <v>0.48412276427020867</v>
      </c>
      <c r="H3" s="51">
        <f>'VFA day 6'!$D$24/1000</f>
        <v>0.69813469416994778</v>
      </c>
      <c r="J3" s="49" t="s">
        <v>31</v>
      </c>
      <c r="K3" s="37">
        <v>0</v>
      </c>
      <c r="L3" s="37">
        <f>C3/'set up'!$J28/1000</f>
        <v>1.4926123183782869E-2</v>
      </c>
      <c r="M3" s="37">
        <f>D3/'set up'!$J28/1000</f>
        <v>1.8103819545871355E-2</v>
      </c>
      <c r="N3" s="37" t="e">
        <f>E3/'set up'!$J28/1000</f>
        <v>#N/A</v>
      </c>
      <c r="O3" s="37" t="e">
        <f>F3/'set up'!$J28/1000</f>
        <v>#N/A</v>
      </c>
      <c r="P3" s="37">
        <f>G3/'set up'!$J28/1000</f>
        <v>8.5277424486961875E-3</v>
      </c>
      <c r="Q3" s="51">
        <f>H3/'set up'!$J28/1000</f>
        <v>1.2297527209560623E-2</v>
      </c>
    </row>
    <row r="4" spans="1:17" x14ac:dyDescent="0.25">
      <c r="A4" s="49" t="s">
        <v>32</v>
      </c>
      <c r="B4" s="37">
        <v>0</v>
      </c>
      <c r="C4" s="37">
        <f>'VFA day 1'!$I$24/1000</f>
        <v>0.76356240750719984</v>
      </c>
      <c r="D4" s="37">
        <f>'VFA day 2'!$I$24/1000</f>
        <v>0.98579055902625157</v>
      </c>
      <c r="E4" s="37" t="e">
        <v>#N/A</v>
      </c>
      <c r="F4" s="37" t="e">
        <v>#N/A</v>
      </c>
      <c r="G4" s="37">
        <f>'VFA day 5'!$I$24/1000</f>
        <v>0.45680529658345542</v>
      </c>
      <c r="H4" s="51">
        <f>'VFA day 6'!$I$24/1000</f>
        <v>0.43079013370958685</v>
      </c>
      <c r="J4" s="49" t="s">
        <v>32</v>
      </c>
      <c r="K4" s="37">
        <v>0</v>
      </c>
      <c r="L4" s="37">
        <f>C4/'set up'!$J29/1000</f>
        <v>1.3445780497610535E-2</v>
      </c>
      <c r="M4" s="37">
        <f>D4/'set up'!$J29/1000</f>
        <v>1.7359057154943524E-2</v>
      </c>
      <c r="N4" s="37" t="e">
        <f>E4/'set up'!$J29/1000</f>
        <v>#N/A</v>
      </c>
      <c r="O4" s="37" t="e">
        <f>F4/'set up'!$J29/1000</f>
        <v>#N/A</v>
      </c>
      <c r="P4" s="37">
        <f>G4/'set up'!$J29/1000</f>
        <v>8.0440101393403213E-3</v>
      </c>
      <c r="Q4" s="51">
        <f>H4/'set up'!$J29/1000</f>
        <v>7.58590197925738E-3</v>
      </c>
    </row>
    <row r="5" spans="1:17" x14ac:dyDescent="0.25">
      <c r="A5" s="49" t="s">
        <v>33</v>
      </c>
      <c r="B5" s="37">
        <v>0</v>
      </c>
      <c r="C5" s="37">
        <f>'VFA day 1'!$N$24/1000</f>
        <v>0.75368672284980109</v>
      </c>
      <c r="D5" s="37">
        <f>'VFA day 2'!$N$24/1000</f>
        <v>1.0240362252940267</v>
      </c>
      <c r="E5" s="37" t="e">
        <v>#N/A</v>
      </c>
      <c r="F5" s="37" t="e">
        <v>#N/A</v>
      </c>
      <c r="G5" s="37">
        <f>'VFA day 5'!$N$24/1000</f>
        <v>0.41378318594051694</v>
      </c>
      <c r="H5" s="51">
        <f>'VFA day 6'!$N$24/1000</f>
        <v>0.25589954518393987</v>
      </c>
      <c r="J5" s="49" t="s">
        <v>33</v>
      </c>
      <c r="K5" s="37">
        <v>0</v>
      </c>
      <c r="L5" s="37">
        <f>C5/'set up'!$J30/1000</f>
        <v>1.3462241346062082E-2</v>
      </c>
      <c r="M5" s="37">
        <f>D5/'set up'!$J30/1000</f>
        <v>1.8291184379489071E-2</v>
      </c>
      <c r="N5" s="37" t="e">
        <f>E5/'set up'!$J30/1000</f>
        <v>#N/A</v>
      </c>
      <c r="O5" s="37" t="e">
        <f>F5/'set up'!$J30/1000</f>
        <v>#N/A</v>
      </c>
      <c r="P5" s="37">
        <f>G5/'set up'!$J30/1000</f>
        <v>7.3909343832023839E-3</v>
      </c>
      <c r="Q5" s="51">
        <f>H5/'set up'!$J30/1000</f>
        <v>4.570840023010796E-3</v>
      </c>
    </row>
    <row r="6" spans="1:17" x14ac:dyDescent="0.25">
      <c r="A6" s="49" t="s">
        <v>34</v>
      </c>
      <c r="B6" s="37">
        <v>0</v>
      </c>
      <c r="C6" s="37">
        <f>'VFA day 1'!$S$24/1000</f>
        <v>0.78190981071816801</v>
      </c>
      <c r="D6" s="37">
        <f>'VFA day 2'!$S$24/1000</f>
        <v>1.0392439603141144</v>
      </c>
      <c r="E6" s="37" t="e">
        <v>#N/A</v>
      </c>
      <c r="F6" s="37" t="e">
        <v>#N/A</v>
      </c>
      <c r="G6" s="37">
        <f>'VFA day 5'!$S$24/1000</f>
        <v>0.78914311157664474</v>
      </c>
      <c r="H6" s="51">
        <f>'VFA day 6'!$S$24/1000</f>
        <v>0.25986726478928834</v>
      </c>
      <c r="J6" s="49" t="s">
        <v>34</v>
      </c>
      <c r="K6" s="37">
        <v>0</v>
      </c>
      <c r="L6" s="37">
        <f>C6/'set up'!$J31/1000</f>
        <v>1.3956350051091752E-2</v>
      </c>
      <c r="M6" s="37">
        <f>D6/'set up'!$J31/1000</f>
        <v>1.8549521057044945E-2</v>
      </c>
      <c r="N6" s="37" t="e">
        <f>E6/'set up'!$J31/1000</f>
        <v>#N/A</v>
      </c>
      <c r="O6" s="37" t="e">
        <f>F6/'set up'!$J31/1000</f>
        <v>#N/A</v>
      </c>
      <c r="P6" s="37">
        <f>G6/'set up'!$J31/1000</f>
        <v>1.4085457625164832E-2</v>
      </c>
      <c r="Q6" s="51">
        <f>H6/'set up'!$J31/1000</f>
        <v>4.6383847145848173E-3</v>
      </c>
    </row>
    <row r="7" spans="1:17" x14ac:dyDescent="0.25">
      <c r="A7" s="49" t="s">
        <v>35</v>
      </c>
      <c r="B7" s="37">
        <v>0</v>
      </c>
      <c r="C7" s="37">
        <f>'VFA day 1'!$D$36/1000</f>
        <v>0.7317183461440091</v>
      </c>
      <c r="D7" s="37">
        <f>'VFA day 2'!$D$36/1000</f>
        <v>0.91872885378457947</v>
      </c>
      <c r="E7" s="37" t="e">
        <v>#N/A</v>
      </c>
      <c r="F7" s="37" t="e">
        <v>#N/A</v>
      </c>
      <c r="G7" s="37">
        <f>'VFA day 5'!$D$36/1000</f>
        <v>0.78914311157664474</v>
      </c>
      <c r="H7" s="51">
        <f>'VFA day 6'!$D$36/1000</f>
        <v>0.19404212702555726</v>
      </c>
      <c r="J7" s="49" t="s">
        <v>35</v>
      </c>
      <c r="K7" s="37">
        <v>0</v>
      </c>
      <c r="L7" s="37">
        <f>C7/'set up'!$J32/1000</f>
        <v>1.2128501803072641E-2</v>
      </c>
      <c r="M7" s="37">
        <f>D7/'set up'!$J32/1000</f>
        <v>1.5228270028189403E-2</v>
      </c>
      <c r="N7" s="37" t="e">
        <f>E7/'set up'!$J32/1000</f>
        <v>#N/A</v>
      </c>
      <c r="O7" s="37" t="e">
        <f>F7/'set up'!$J32/1000</f>
        <v>#N/A</v>
      </c>
      <c r="P7" s="37">
        <f>G7/'set up'!$J32/1000</f>
        <v>1.3080338496468424E-2</v>
      </c>
      <c r="Q7" s="51">
        <f>H7/'set up'!$J32/1000</f>
        <v>3.2163199131245265E-3</v>
      </c>
    </row>
    <row r="8" spans="1:17" x14ac:dyDescent="0.25">
      <c r="A8" s="49" t="s">
        <v>36</v>
      </c>
      <c r="B8" s="37">
        <v>0</v>
      </c>
      <c r="C8" s="37">
        <f>'VFA day 1'!$I$36/1000</f>
        <v>0.77451087443364808</v>
      </c>
      <c r="D8" s="37">
        <f>'VFA day 2'!$I$36/1000</f>
        <v>0.95710270056179603</v>
      </c>
      <c r="E8" s="37" t="e">
        <v>#N/A</v>
      </c>
      <c r="F8" s="37" t="e">
        <v>#N/A</v>
      </c>
      <c r="G8" s="37">
        <f>'VFA day 5'!$I$36/1000</f>
        <v>0.53151546968886065</v>
      </c>
      <c r="H8" s="51">
        <f>'VFA day 6'!$I$36/1000</f>
        <v>0.24255035862055277</v>
      </c>
      <c r="J8" s="49" t="s">
        <v>36</v>
      </c>
      <c r="K8" s="37">
        <v>0</v>
      </c>
      <c r="L8" s="37">
        <f>C8/'set up'!$J33/1000</f>
        <v>1.2825493514330221E-2</v>
      </c>
      <c r="M8" s="37">
        <f>D8/'set up'!$J33/1000</f>
        <v>1.5849118306543383E-2</v>
      </c>
      <c r="N8" s="37" t="e">
        <f>E8/'set up'!$J33/1000</f>
        <v>#N/A</v>
      </c>
      <c r="O8" s="37" t="e">
        <f>F8/'set up'!$J33/1000</f>
        <v>#N/A</v>
      </c>
      <c r="P8" s="37">
        <f>G8/'set up'!$J33/1000</f>
        <v>8.8016171680552271E-3</v>
      </c>
      <c r="Q8" s="51">
        <f>H8/'set up'!$J33/1000</f>
        <v>4.01650661607705E-3</v>
      </c>
    </row>
    <row r="9" spans="1:17" x14ac:dyDescent="0.25">
      <c r="A9" s="49" t="s">
        <v>37</v>
      </c>
      <c r="B9" s="37">
        <v>0</v>
      </c>
      <c r="C9" s="37">
        <f>'VFA day 1'!$N$36/1000</f>
        <v>0.73295265198366355</v>
      </c>
      <c r="D9" s="37">
        <f>'VFA day 2'!$N$36/1000</f>
        <v>0.93511347504746201</v>
      </c>
      <c r="E9" s="37" t="e">
        <v>#N/A</v>
      </c>
      <c r="F9" s="37" t="e">
        <v>#N/A</v>
      </c>
      <c r="G9" s="37">
        <f>'VFA day 5'!$N$36/1000</f>
        <v>0.74191330517611143</v>
      </c>
      <c r="H9" s="51">
        <f>'VFA day 6'!$N$36/1000</f>
        <v>0.38743547741084672</v>
      </c>
      <c r="J9" s="49" t="s">
        <v>37</v>
      </c>
      <c r="K9" s="37">
        <v>0</v>
      </c>
      <c r="L9" s="37">
        <f>C9/'set up'!$J34/1000</f>
        <v>1.3094067670448864E-2</v>
      </c>
      <c r="M9" s="37">
        <f>D9/'set up'!$J34/1000</f>
        <v>1.6705634516338407E-2</v>
      </c>
      <c r="N9" s="37" t="e">
        <f>E9/'set up'!$J34/1000</f>
        <v>#N/A</v>
      </c>
      <c r="O9" s="37" t="e">
        <f>F9/'set up'!$J34/1000</f>
        <v>#N/A</v>
      </c>
      <c r="P9" s="37">
        <f>G9/'set up'!$J34/1000</f>
        <v>1.3254148132612128E-2</v>
      </c>
      <c r="Q9" s="51">
        <f>H9/'set up'!$J34/1000</f>
        <v>6.9214653162389551E-3</v>
      </c>
    </row>
    <row r="10" spans="1:17" x14ac:dyDescent="0.25">
      <c r="A10" s="49" t="s">
        <v>38</v>
      </c>
      <c r="B10" s="37">
        <v>0</v>
      </c>
      <c r="C10" s="37">
        <f>'VFA day 1'!$S$36/1000</f>
        <v>0.6171429327569985</v>
      </c>
      <c r="D10" s="37">
        <f>'VFA day 2'!$S$36/1000</f>
        <v>0.84960066139816337</v>
      </c>
      <c r="E10" s="37" t="e">
        <v>#N/A</v>
      </c>
      <c r="F10" s="37" t="e">
        <v>#N/A</v>
      </c>
      <c r="G10" s="37">
        <f>'VFA day 5'!$S$36/1000</f>
        <v>1.1661363518714922</v>
      </c>
      <c r="H10" s="51">
        <f>'VFA day 6'!$S$36/1000</f>
        <v>0.91777309423722075</v>
      </c>
      <c r="J10" s="49" t="s">
        <v>38</v>
      </c>
      <c r="K10" s="37">
        <v>0</v>
      </c>
      <c r="L10" s="37">
        <f>C10/'set up'!$J35/1000</f>
        <v>1.1018215450822374E-2</v>
      </c>
      <c r="M10" s="37">
        <f>D10/'set up'!$J35/1000</f>
        <v>1.5168419887151331E-2</v>
      </c>
      <c r="N10" s="37" t="e">
        <f>E10/'set up'!$J35/1000</f>
        <v>#N/A</v>
      </c>
      <c r="O10" s="37" t="e">
        <f>F10/'set up'!$J35/1000</f>
        <v>#N/A</v>
      </c>
      <c r="P10" s="37">
        <f>G10/'set up'!$J35/1000</f>
        <v>2.0819717585610489E-2</v>
      </c>
      <c r="Q10" s="51">
        <f>H10/'set up'!$J35/1000</f>
        <v>1.6385542393070416E-2</v>
      </c>
    </row>
    <row r="11" spans="1:17" x14ac:dyDescent="0.25">
      <c r="A11" s="49" t="s">
        <v>39</v>
      </c>
      <c r="B11" s="37">
        <v>0</v>
      </c>
      <c r="C11" s="37">
        <f>'VFA day 1'!$D$48/1000</f>
        <v>0.51055737213879848</v>
      </c>
      <c r="D11" s="37">
        <f>'VFA day 2'!$D$48/1000</f>
        <v>0.63604411505274294</v>
      </c>
      <c r="E11" s="37" t="e">
        <v>#N/A</v>
      </c>
      <c r="F11" s="37" t="e">
        <v>#N/A</v>
      </c>
      <c r="G11" s="37">
        <f>'VFA day 5'!$D$48/1000</f>
        <v>0.68647963583363181</v>
      </c>
      <c r="H11" s="51">
        <f>'VFA day 6'!$D$48/1000</f>
        <v>0.6065679603101225</v>
      </c>
      <c r="J11" s="49" t="s">
        <v>39</v>
      </c>
      <c r="K11" s="37">
        <v>0</v>
      </c>
      <c r="L11" s="37">
        <f>C11/'set up'!$J36/1000</f>
        <v>7.716444971601069E-3</v>
      </c>
      <c r="M11" s="37">
        <f>D11/'set up'!$J36/1000</f>
        <v>9.613022318637518E-3</v>
      </c>
      <c r="N11" s="37" t="e">
        <f>E11/'set up'!$J36/1000</f>
        <v>#N/A</v>
      </c>
      <c r="O11" s="37" t="e">
        <f>F11/'set up'!$J36/1000</f>
        <v>#N/A</v>
      </c>
      <c r="P11" s="37">
        <f>G11/'set up'!$J36/1000</f>
        <v>1.0375293009371896E-2</v>
      </c>
      <c r="Q11" s="51">
        <f>H11/'set up'!$J36/1000</f>
        <v>9.1675265948308014E-3</v>
      </c>
    </row>
    <row r="12" spans="1:17" x14ac:dyDescent="0.25">
      <c r="A12" s="49" t="s">
        <v>40</v>
      </c>
      <c r="B12" s="37">
        <v>0</v>
      </c>
      <c r="C12" s="37">
        <f>'VFA day 1'!$I$48/1000</f>
        <v>0.58240630163725349</v>
      </c>
      <c r="D12" s="37">
        <f>'VFA day 2'!$I$48/1000</f>
        <v>0.76751294375339307</v>
      </c>
      <c r="E12" s="37" t="e">
        <v>#N/A</v>
      </c>
      <c r="F12" s="37" t="e">
        <v>#N/A</v>
      </c>
      <c r="G12" s="37">
        <f>'VFA day 5'!$I$48/1000</f>
        <v>0.64533702574577778</v>
      </c>
      <c r="H12" s="51">
        <f>'VFA day 6'!$I$48/1000</f>
        <v>0.59802218498832627</v>
      </c>
      <c r="J12" s="49" t="s">
        <v>40</v>
      </c>
      <c r="K12" s="37">
        <v>0</v>
      </c>
      <c r="L12" s="37">
        <f>C12/'set up'!$J37/1000</f>
        <v>8.8088032750336994E-3</v>
      </c>
      <c r="M12" s="37">
        <f>D12/'set up'!$J37/1000</f>
        <v>1.1608511984776897E-2</v>
      </c>
      <c r="N12" s="37" t="e">
        <f>E12/'set up'!$J37/1000</f>
        <v>#N/A</v>
      </c>
      <c r="O12" s="37" t="e">
        <f>F12/'set up'!$J37/1000</f>
        <v>#N/A</v>
      </c>
      <c r="P12" s="37">
        <f>G12/'set up'!$J37/1000</f>
        <v>9.760620532280136E-3</v>
      </c>
      <c r="Q12" s="51">
        <f>H12/'set up'!$J37/1000</f>
        <v>9.0449910429523748E-3</v>
      </c>
    </row>
    <row r="13" spans="1:17" x14ac:dyDescent="0.25">
      <c r="A13" s="49" t="s">
        <v>41</v>
      </c>
      <c r="B13" s="37">
        <v>0</v>
      </c>
      <c r="C13" s="37">
        <f>'VFA day 1'!$N$48/1000</f>
        <v>0.56787238950727914</v>
      </c>
      <c r="D13" s="37">
        <f>'VFA day 2'!$N$48/1000</f>
        <v>0.75974036552162549</v>
      </c>
      <c r="E13" s="37" t="e">
        <v>#N/A</v>
      </c>
      <c r="F13" s="37" t="e">
        <v>#N/A</v>
      </c>
      <c r="G13" s="37">
        <f>'VFA day 5'!$N$48/1000</f>
        <v>0.37235932490551532</v>
      </c>
      <c r="H13" s="51">
        <f>'VFA day 6'!$N$48/1000</f>
        <v>0.3730035898067362</v>
      </c>
      <c r="J13" s="49" t="s">
        <v>41</v>
      </c>
      <c r="K13" s="37">
        <v>0</v>
      </c>
      <c r="L13" s="37">
        <f>C13/'set up'!$J38/1000</f>
        <v>1.0143176783681403E-2</v>
      </c>
      <c r="M13" s="37">
        <f>D13/'set up'!$J38/1000</f>
        <v>1.3570268566624501E-2</v>
      </c>
      <c r="N13" s="37" t="e">
        <f>E13/'set up'!$J38/1000</f>
        <v>#N/A</v>
      </c>
      <c r="O13" s="37" t="e">
        <f>F13/'set up'!$J38/1000</f>
        <v>#N/A</v>
      </c>
      <c r="P13" s="37">
        <f>G13/'set up'!$J38/1000</f>
        <v>6.6509774543643142E-3</v>
      </c>
      <c r="Q13" s="51">
        <f>H13/'set up'!$J38/1000</f>
        <v>6.6624851326902036E-3</v>
      </c>
    </row>
    <row r="14" spans="1:17" x14ac:dyDescent="0.25">
      <c r="A14" s="49" t="s">
        <v>42</v>
      </c>
      <c r="B14" s="37">
        <v>0</v>
      </c>
      <c r="C14" s="37">
        <f>'VFA day 1'!$S$48/1000</f>
        <v>0.52026814305069979</v>
      </c>
      <c r="D14" s="37">
        <f>'VFA day 2'!$S$48/1000</f>
        <v>0.70056931584558824</v>
      </c>
      <c r="E14" s="37" t="e">
        <v>#N/A</v>
      </c>
      <c r="F14" s="37" t="e">
        <v>#N/A</v>
      </c>
      <c r="G14" s="37">
        <f>'VFA day 5'!$S$48/1000</f>
        <v>0.56766844697742636</v>
      </c>
      <c r="H14" s="51">
        <f>'VFA day 6'!$S$48/1000</f>
        <v>0.45294435729831384</v>
      </c>
      <c r="J14" s="49" t="s">
        <v>42</v>
      </c>
      <c r="K14" s="37">
        <v>0</v>
      </c>
      <c r="L14" s="37">
        <f>C14/'set up'!$J39/1000</f>
        <v>9.2876025030883009E-3</v>
      </c>
      <c r="M14" s="37">
        <f>D14/'set up'!$J39/1000</f>
        <v>1.2506261277658663E-2</v>
      </c>
      <c r="N14" s="37" t="e">
        <f>E14/'set up'!$J39/1000</f>
        <v>#N/A</v>
      </c>
      <c r="O14" s="37" t="e">
        <f>F14/'set up'!$J39/1000</f>
        <v>#N/A</v>
      </c>
      <c r="P14" s="37">
        <f>G14/'set up'!$J39/1000</f>
        <v>1.0133772285492434E-2</v>
      </c>
      <c r="Q14" s="51">
        <f>H14/'set up'!$J39/1000</f>
        <v>8.08576731593884E-3</v>
      </c>
    </row>
    <row r="15" spans="1:17" x14ac:dyDescent="0.25">
      <c r="A15" s="49" t="s">
        <v>43</v>
      </c>
      <c r="B15" s="37">
        <v>0</v>
      </c>
      <c r="C15" s="37">
        <f>'VFA day 1'!$D$60/1000</f>
        <v>0.6250429836243766</v>
      </c>
      <c r="D15" s="37">
        <f>'VFA day 2'!$D$60/1000</f>
        <v>0.75437267736865554</v>
      </c>
      <c r="E15" s="37" t="e">
        <v>#N/A</v>
      </c>
      <c r="F15" s="37" t="e">
        <v>#N/A</v>
      </c>
      <c r="G15" s="37">
        <f>'VFA day 5'!$D$60/1000</f>
        <v>0.36147560920937621</v>
      </c>
      <c r="H15" s="51">
        <f>'VFA day 6'!$D$60/1000</f>
        <v>0.32341346197545096</v>
      </c>
      <c r="J15" s="49" t="s">
        <v>43</v>
      </c>
      <c r="K15" s="37">
        <v>0</v>
      </c>
      <c r="L15" s="37">
        <f>C15/'set up'!$J40/1000</f>
        <v>1.1168067249569596E-2</v>
      </c>
      <c r="M15" s="37">
        <f>D15/'set up'!$J40/1000</f>
        <v>1.3478888672965247E-2</v>
      </c>
      <c r="N15" s="37" t="e">
        <f>E15/'set up'!$J40/1000</f>
        <v>#N/A</v>
      </c>
      <c r="O15" s="37" t="e">
        <f>F15/'set up'!$J40/1000</f>
        <v>#N/A</v>
      </c>
      <c r="P15" s="37">
        <f>G15/'set up'!$J40/1000</f>
        <v>6.4587300689635486E-3</v>
      </c>
      <c r="Q15" s="51">
        <f>H15/'set up'!$J40/1000</f>
        <v>5.778647848847066E-3</v>
      </c>
    </row>
    <row r="16" spans="1:17" ht="15.75" thickBot="1" x14ac:dyDescent="0.3">
      <c r="A16" s="52" t="s">
        <v>44</v>
      </c>
      <c r="B16" s="40">
        <v>0</v>
      </c>
      <c r="C16" s="40">
        <f>'VFA day 1'!$I$60/1000</f>
        <v>0.64347237000881141</v>
      </c>
      <c r="D16" s="40">
        <f>'VFA day 2'!$I$60/1000</f>
        <v>0.85467503543606738</v>
      </c>
      <c r="E16" s="40" t="e">
        <v>#N/A</v>
      </c>
      <c r="F16" s="40" t="e">
        <v>#N/A</v>
      </c>
      <c r="G16" s="40">
        <f>'VFA day 5'!$I$60/1000</f>
        <v>0.29743776294602015</v>
      </c>
      <c r="H16" s="54">
        <f>'VFA day 6'!$I$60/1000</f>
        <v>0.3248544221793131</v>
      </c>
      <c r="J16" s="52" t="s">
        <v>44</v>
      </c>
      <c r="K16" s="40">
        <v>0</v>
      </c>
      <c r="L16" s="40">
        <f>C16/'set up'!$J41/1000</f>
        <v>1.1495055433306809E-2</v>
      </c>
      <c r="M16" s="40">
        <f>D16/'set up'!$J41/1000</f>
        <v>1.5268001188095339E-2</v>
      </c>
      <c r="N16" s="40" t="e">
        <f>E16/'set up'!$J41/1000</f>
        <v>#N/A</v>
      </c>
      <c r="O16" s="40" t="e">
        <f>F16/'set up'!$J41/1000</f>
        <v>#N/A</v>
      </c>
      <c r="P16" s="40">
        <f>G16/'set up'!$J41/1000</f>
        <v>5.3134582499268033E-3</v>
      </c>
      <c r="Q16" s="54">
        <f>H16/'set up'!$J41/1000</f>
        <v>5.8032322206078915E-3</v>
      </c>
    </row>
    <row r="18" spans="1:17" ht="15.75" thickBot="1" x14ac:dyDescent="0.3"/>
    <row r="19" spans="1:17" x14ac:dyDescent="0.25">
      <c r="A19" s="45" t="s">
        <v>71</v>
      </c>
      <c r="B19" s="46">
        <v>0</v>
      </c>
      <c r="C19" s="46">
        <v>1</v>
      </c>
      <c r="D19" s="46">
        <v>2</v>
      </c>
      <c r="E19" s="46">
        <v>3</v>
      </c>
      <c r="F19" s="46">
        <v>4</v>
      </c>
      <c r="G19" s="46">
        <v>5</v>
      </c>
      <c r="H19" s="47">
        <v>6</v>
      </c>
      <c r="J19" s="45" t="s">
        <v>71</v>
      </c>
      <c r="K19" s="46">
        <v>0</v>
      </c>
      <c r="L19" s="46">
        <v>1</v>
      </c>
      <c r="M19" s="46">
        <v>2</v>
      </c>
      <c r="N19" s="46">
        <v>3</v>
      </c>
      <c r="O19" s="46">
        <v>4</v>
      </c>
      <c r="P19" s="46">
        <v>5</v>
      </c>
      <c r="Q19" s="47">
        <v>6</v>
      </c>
    </row>
    <row r="20" spans="1:17" x14ac:dyDescent="0.25">
      <c r="A20" s="49" t="s">
        <v>15</v>
      </c>
      <c r="B20" s="37">
        <f>AVERAGE(B3:B4)</f>
        <v>0</v>
      </c>
      <c r="C20" s="37">
        <f t="shared" ref="C20:H20" si="0">AVERAGE(C3:C4)</f>
        <v>0.8054616830271859</v>
      </c>
      <c r="D20" s="37">
        <f t="shared" si="0"/>
        <v>1.0067751964503617</v>
      </c>
      <c r="E20" s="37" t="e">
        <f t="shared" si="0"/>
        <v>#N/A</v>
      </c>
      <c r="F20" s="37" t="e">
        <f t="shared" si="0"/>
        <v>#N/A</v>
      </c>
      <c r="G20" s="37">
        <f t="shared" si="0"/>
        <v>0.47046403042683205</v>
      </c>
      <c r="H20" s="51">
        <f t="shared" si="0"/>
        <v>0.56446241393976737</v>
      </c>
      <c r="J20" s="49" t="s">
        <v>15</v>
      </c>
      <c r="K20" s="37">
        <f>AVERAGE(K3:K4)</f>
        <v>0</v>
      </c>
      <c r="L20" s="37">
        <f t="shared" ref="L20:Q20" si="1">AVERAGE(L3:L4)</f>
        <v>1.4185951840696702E-2</v>
      </c>
      <c r="M20" s="37">
        <f t="shared" si="1"/>
        <v>1.7731438350407441E-2</v>
      </c>
      <c r="N20" s="37" t="e">
        <f t="shared" si="1"/>
        <v>#N/A</v>
      </c>
      <c r="O20" s="37" t="e">
        <f t="shared" si="1"/>
        <v>#N/A</v>
      </c>
      <c r="P20" s="37">
        <f t="shared" si="1"/>
        <v>8.2858762940182552E-3</v>
      </c>
      <c r="Q20" s="51">
        <f t="shared" si="1"/>
        <v>9.941714594409002E-3</v>
      </c>
    </row>
    <row r="21" spans="1:17" x14ac:dyDescent="0.25">
      <c r="A21" s="49" t="s">
        <v>125</v>
      </c>
      <c r="B21" s="37">
        <f>AVERAGE(B5:B6)</f>
        <v>0</v>
      </c>
      <c r="C21" s="37">
        <f>AVERAGE(C5:C6)</f>
        <v>0.76779826678398455</v>
      </c>
      <c r="D21" s="37">
        <f t="shared" ref="D21:H21" si="2">AVERAGE(D5:D6)</f>
        <v>1.0316400928040705</v>
      </c>
      <c r="E21" s="37" t="e">
        <f t="shared" si="2"/>
        <v>#N/A</v>
      </c>
      <c r="F21" s="37" t="e">
        <f t="shared" si="2"/>
        <v>#N/A</v>
      </c>
      <c r="G21" s="37">
        <f t="shared" si="2"/>
        <v>0.60146314875858087</v>
      </c>
      <c r="H21" s="51">
        <f t="shared" si="2"/>
        <v>0.25788340498661411</v>
      </c>
      <c r="J21" s="49" t="s">
        <v>125</v>
      </c>
      <c r="K21" s="37">
        <f>AVERAGE(K5:K6)</f>
        <v>0</v>
      </c>
      <c r="L21" s="37">
        <f>AVERAGE(L5:L6)</f>
        <v>1.3709295698576917E-2</v>
      </c>
      <c r="M21" s="37">
        <f t="shared" ref="M21:Q21" si="3">AVERAGE(M5:M6)</f>
        <v>1.8420352718267009E-2</v>
      </c>
      <c r="N21" s="37" t="e">
        <f t="shared" si="3"/>
        <v>#N/A</v>
      </c>
      <c r="O21" s="37" t="e">
        <f t="shared" si="3"/>
        <v>#N/A</v>
      </c>
      <c r="P21" s="37">
        <f t="shared" si="3"/>
        <v>1.0738196004183609E-2</v>
      </c>
      <c r="Q21" s="51">
        <f t="shared" si="3"/>
        <v>4.6046123687978066E-3</v>
      </c>
    </row>
    <row r="22" spans="1:17" x14ac:dyDescent="0.25">
      <c r="A22" s="49" t="s">
        <v>16</v>
      </c>
      <c r="B22" s="37">
        <f>AVERAGE(B7:B8)</f>
        <v>0</v>
      </c>
      <c r="C22" s="37">
        <f t="shared" ref="C22:H22" si="4">AVERAGE(C7:C8)</f>
        <v>0.75311461028882865</v>
      </c>
      <c r="D22" s="37">
        <f t="shared" si="4"/>
        <v>0.93791577717318775</v>
      </c>
      <c r="E22" s="37" t="e">
        <f t="shared" si="4"/>
        <v>#N/A</v>
      </c>
      <c r="F22" s="37" t="e">
        <f t="shared" si="4"/>
        <v>#N/A</v>
      </c>
      <c r="G22" s="37">
        <f t="shared" si="4"/>
        <v>0.6603292906327527</v>
      </c>
      <c r="H22" s="51">
        <f t="shared" si="4"/>
        <v>0.21829624282305501</v>
      </c>
      <c r="J22" s="49" t="s">
        <v>16</v>
      </c>
      <c r="K22" s="37">
        <f>AVERAGE(K7:K8)</f>
        <v>0</v>
      </c>
      <c r="L22" s="37">
        <f t="shared" ref="L22:Q22" si="5">AVERAGE(L7:L8)</f>
        <v>1.247699765870143E-2</v>
      </c>
      <c r="M22" s="37">
        <f t="shared" si="5"/>
        <v>1.5538694167366394E-2</v>
      </c>
      <c r="N22" s="37" t="e">
        <f t="shared" si="5"/>
        <v>#N/A</v>
      </c>
      <c r="O22" s="37" t="e">
        <f t="shared" si="5"/>
        <v>#N/A</v>
      </c>
      <c r="P22" s="37">
        <f t="shared" si="5"/>
        <v>1.0940977832261826E-2</v>
      </c>
      <c r="Q22" s="51">
        <f t="shared" si="5"/>
        <v>3.6164132646007881E-3</v>
      </c>
    </row>
    <row r="23" spans="1:17" x14ac:dyDescent="0.25">
      <c r="A23" s="49" t="s">
        <v>126</v>
      </c>
      <c r="B23" s="37">
        <f>AVERAGE(B9:B10)</f>
        <v>0</v>
      </c>
      <c r="C23" s="37">
        <f t="shared" ref="C23:H23" si="6">AVERAGE(C9:C10)</f>
        <v>0.67504779237033108</v>
      </c>
      <c r="D23" s="37">
        <f t="shared" si="6"/>
        <v>0.89235706822281269</v>
      </c>
      <c r="E23" s="37" t="e">
        <f t="shared" si="6"/>
        <v>#N/A</v>
      </c>
      <c r="F23" s="37" t="e">
        <f t="shared" si="6"/>
        <v>#N/A</v>
      </c>
      <c r="G23" s="37">
        <f t="shared" si="6"/>
        <v>0.95402482852380177</v>
      </c>
      <c r="H23" s="51">
        <f t="shared" si="6"/>
        <v>0.65260428582403374</v>
      </c>
      <c r="J23" s="49" t="s">
        <v>126</v>
      </c>
      <c r="K23" s="37">
        <f>AVERAGE(K9:K10)</f>
        <v>0</v>
      </c>
      <c r="L23" s="37">
        <f t="shared" ref="L23:Q23" si="7">AVERAGE(L9:L10)</f>
        <v>1.2056141560635619E-2</v>
      </c>
      <c r="M23" s="37">
        <f t="shared" si="7"/>
        <v>1.593702720174487E-2</v>
      </c>
      <c r="N23" s="37" t="e">
        <f t="shared" si="7"/>
        <v>#N/A</v>
      </c>
      <c r="O23" s="37" t="e">
        <f t="shared" si="7"/>
        <v>#N/A</v>
      </c>
      <c r="P23" s="37">
        <f t="shared" si="7"/>
        <v>1.7036932859111308E-2</v>
      </c>
      <c r="Q23" s="51">
        <f t="shared" si="7"/>
        <v>1.1653503854654686E-2</v>
      </c>
    </row>
    <row r="24" spans="1:17" x14ac:dyDescent="0.25">
      <c r="A24" s="49" t="s">
        <v>17</v>
      </c>
      <c r="B24" s="37">
        <f>AVERAGE(B11:B12)</f>
        <v>0</v>
      </c>
      <c r="C24" s="37">
        <f t="shared" ref="C24:H24" si="8">AVERAGE(C11:C12)</f>
        <v>0.54648183688802598</v>
      </c>
      <c r="D24" s="37">
        <f t="shared" si="8"/>
        <v>0.70177852940306806</v>
      </c>
      <c r="E24" s="37" t="e">
        <f t="shared" si="8"/>
        <v>#N/A</v>
      </c>
      <c r="F24" s="37" t="e">
        <f t="shared" si="8"/>
        <v>#N/A</v>
      </c>
      <c r="G24" s="37">
        <f t="shared" si="8"/>
        <v>0.66590833078970479</v>
      </c>
      <c r="H24" s="51">
        <f t="shared" si="8"/>
        <v>0.60229507264922444</v>
      </c>
      <c r="J24" s="49" t="s">
        <v>17</v>
      </c>
      <c r="K24" s="37">
        <f>AVERAGE(K11:K12)</f>
        <v>0</v>
      </c>
      <c r="L24" s="37">
        <f t="shared" ref="L24:Q24" si="9">AVERAGE(L11:L12)</f>
        <v>8.2626241233173837E-3</v>
      </c>
      <c r="M24" s="37">
        <f t="shared" si="9"/>
        <v>1.0610767151707208E-2</v>
      </c>
      <c r="N24" s="37" t="e">
        <f t="shared" si="9"/>
        <v>#N/A</v>
      </c>
      <c r="O24" s="37" t="e">
        <f t="shared" si="9"/>
        <v>#N/A</v>
      </c>
      <c r="P24" s="37">
        <f t="shared" si="9"/>
        <v>1.0067956770826017E-2</v>
      </c>
      <c r="Q24" s="51">
        <f t="shared" si="9"/>
        <v>9.106258818891589E-3</v>
      </c>
    </row>
    <row r="25" spans="1:17" x14ac:dyDescent="0.25">
      <c r="A25" s="49" t="s">
        <v>127</v>
      </c>
      <c r="B25" s="37">
        <f>AVERAGE(B13:B14)</f>
        <v>0</v>
      </c>
      <c r="C25" s="37">
        <f t="shared" ref="C25:H25" si="10">AVERAGE(C13:C14)</f>
        <v>0.54407026627898947</v>
      </c>
      <c r="D25" s="37">
        <f t="shared" si="10"/>
        <v>0.73015484068360692</v>
      </c>
      <c r="E25" s="37" t="e">
        <f t="shared" si="10"/>
        <v>#N/A</v>
      </c>
      <c r="F25" s="37" t="e">
        <f t="shared" si="10"/>
        <v>#N/A</v>
      </c>
      <c r="G25" s="37">
        <f t="shared" si="10"/>
        <v>0.47001388594147087</v>
      </c>
      <c r="H25" s="51">
        <f t="shared" si="10"/>
        <v>0.41297397355252502</v>
      </c>
      <c r="J25" s="49" t="s">
        <v>127</v>
      </c>
      <c r="K25" s="37">
        <f>AVERAGE(K13:K14)</f>
        <v>0</v>
      </c>
      <c r="L25" s="37">
        <f t="shared" ref="L25:Q25" si="11">AVERAGE(L13:L14)</f>
        <v>9.715389643384852E-3</v>
      </c>
      <c r="M25" s="37">
        <f t="shared" si="11"/>
        <v>1.3038264922141583E-2</v>
      </c>
      <c r="N25" s="37" t="e">
        <f t="shared" si="11"/>
        <v>#N/A</v>
      </c>
      <c r="O25" s="37" t="e">
        <f t="shared" si="11"/>
        <v>#N/A</v>
      </c>
      <c r="P25" s="37">
        <f t="shared" si="11"/>
        <v>8.3923748699283734E-3</v>
      </c>
      <c r="Q25" s="51">
        <f t="shared" si="11"/>
        <v>7.3741262243145218E-3</v>
      </c>
    </row>
    <row r="26" spans="1:17" ht="15.75" thickBot="1" x14ac:dyDescent="0.3">
      <c r="A26" s="52" t="s">
        <v>46</v>
      </c>
      <c r="B26" s="40">
        <f>AVERAGE(B15:B16)</f>
        <v>0</v>
      </c>
      <c r="C26" s="40">
        <f t="shared" ref="C26:H26" si="12">AVERAGE(C15:C16)</f>
        <v>0.63425767681659395</v>
      </c>
      <c r="D26" s="40">
        <f t="shared" si="12"/>
        <v>0.80452385640236146</v>
      </c>
      <c r="E26" s="40" t="e">
        <f t="shared" si="12"/>
        <v>#N/A</v>
      </c>
      <c r="F26" s="40" t="e">
        <f t="shared" si="12"/>
        <v>#N/A</v>
      </c>
      <c r="G26" s="40">
        <f t="shared" si="12"/>
        <v>0.32945668607769818</v>
      </c>
      <c r="H26" s="54">
        <f t="shared" si="12"/>
        <v>0.324133942077382</v>
      </c>
      <c r="J26" s="52" t="s">
        <v>46</v>
      </c>
      <c r="K26" s="40">
        <f>AVERAGE(K15:K16)</f>
        <v>0</v>
      </c>
      <c r="L26" s="40">
        <f t="shared" ref="L26:Q26" si="13">AVERAGE(L15:L16)</f>
        <v>1.1331561341438203E-2</v>
      </c>
      <c r="M26" s="40">
        <f t="shared" si="13"/>
        <v>1.4373444930530294E-2</v>
      </c>
      <c r="N26" s="40" t="e">
        <f t="shared" si="13"/>
        <v>#N/A</v>
      </c>
      <c r="O26" s="40" t="e">
        <f t="shared" si="13"/>
        <v>#N/A</v>
      </c>
      <c r="P26" s="40">
        <f t="shared" si="13"/>
        <v>5.8860941594451755E-3</v>
      </c>
      <c r="Q26" s="54">
        <f t="shared" si="13"/>
        <v>5.7909400347274792E-3</v>
      </c>
    </row>
    <row r="27" spans="1:17" ht="15.75" thickBot="1" x14ac:dyDescent="0.3"/>
    <row r="28" spans="1:17" x14ac:dyDescent="0.25">
      <c r="J28" s="45" t="s">
        <v>129</v>
      </c>
      <c r="K28" s="46">
        <v>0</v>
      </c>
      <c r="L28" s="46">
        <v>1</v>
      </c>
      <c r="M28" s="46">
        <v>2</v>
      </c>
      <c r="N28" s="46">
        <v>3</v>
      </c>
      <c r="O28" s="46">
        <v>4</v>
      </c>
      <c r="P28" s="46">
        <v>5</v>
      </c>
      <c r="Q28" s="47">
        <v>6</v>
      </c>
    </row>
    <row r="29" spans="1:17" x14ac:dyDescent="0.25">
      <c r="J29" s="49" t="s">
        <v>15</v>
      </c>
      <c r="K29" s="37">
        <f>_xlfn.STDEV.P(K3:K4)</f>
        <v>0</v>
      </c>
      <c r="L29" s="37">
        <f t="shared" ref="L29:P29" si="14">_xlfn.STDEV.P(L3:L4)</f>
        <v>7.4017134308616665E-4</v>
      </c>
      <c r="M29" s="37">
        <f t="shared" si="14"/>
        <v>3.7238119546391564E-4</v>
      </c>
      <c r="N29" s="37" t="e">
        <f t="shared" si="14"/>
        <v>#N/A</v>
      </c>
      <c r="O29" s="37" t="e">
        <f t="shared" si="14"/>
        <v>#N/A</v>
      </c>
      <c r="P29" s="37">
        <f t="shared" si="14"/>
        <v>2.4186615467793309E-4</v>
      </c>
      <c r="Q29" s="51">
        <f>_xlfn.STDEV.P(Q3:Q4)</f>
        <v>2.3558126151516216E-3</v>
      </c>
    </row>
    <row r="30" spans="1:17" x14ac:dyDescent="0.25">
      <c r="J30" s="49" t="s">
        <v>125</v>
      </c>
      <c r="K30" s="37">
        <f>_xlfn.STDEV.P(K5:K6)</f>
        <v>0</v>
      </c>
      <c r="L30" s="37">
        <f t="shared" ref="L30:P30" si="15">_xlfn.STDEV.P(L5:L6)</f>
        <v>2.4705435251483505E-4</v>
      </c>
      <c r="M30" s="37">
        <f t="shared" si="15"/>
        <v>1.2916833877793694E-4</v>
      </c>
      <c r="N30" s="37" t="e">
        <f t="shared" si="15"/>
        <v>#N/A</v>
      </c>
      <c r="O30" s="37" t="e">
        <f t="shared" si="15"/>
        <v>#N/A</v>
      </c>
      <c r="P30" s="37">
        <f t="shared" si="15"/>
        <v>3.3472616209812233E-3</v>
      </c>
      <c r="Q30" s="51">
        <f>_xlfn.STDEV.P(Q5:Q6)</f>
        <v>3.3772345787010626E-5</v>
      </c>
    </row>
    <row r="31" spans="1:17" x14ac:dyDescent="0.25">
      <c r="J31" s="49" t="s">
        <v>16</v>
      </c>
      <c r="K31" s="37">
        <f>_xlfn.STDEV.P(K7:K8)</f>
        <v>0</v>
      </c>
      <c r="L31" s="37">
        <f t="shared" ref="L31:P31" si="16">_xlfn.STDEV.P(L7:L8)</f>
        <v>3.4849585562878992E-4</v>
      </c>
      <c r="M31" s="37">
        <f t="shared" si="16"/>
        <v>3.1042413917699036E-4</v>
      </c>
      <c r="N31" s="37" t="e">
        <f t="shared" si="16"/>
        <v>#N/A</v>
      </c>
      <c r="O31" s="37" t="e">
        <f t="shared" si="16"/>
        <v>#N/A</v>
      </c>
      <c r="P31" s="37">
        <f t="shared" si="16"/>
        <v>2.1393606642065984E-3</v>
      </c>
      <c r="Q31" s="51">
        <f>_xlfn.STDEV.P(Q7:Q8)</f>
        <v>4.0009335147626174E-4</v>
      </c>
    </row>
    <row r="32" spans="1:17" ht="15.75" thickBot="1" x14ac:dyDescent="0.3">
      <c r="J32" s="49" t="s">
        <v>126</v>
      </c>
      <c r="K32" s="37">
        <f>_xlfn.STDEV.P(K9:K10)</f>
        <v>0</v>
      </c>
      <c r="L32" s="37">
        <f t="shared" ref="L32:P32" si="17">_xlfn.STDEV.P(L9:L10)</f>
        <v>1.0379261098132451E-3</v>
      </c>
      <c r="M32" s="37">
        <f t="shared" si="17"/>
        <v>7.68607314593538E-4</v>
      </c>
      <c r="N32" s="37" t="e">
        <f t="shared" si="17"/>
        <v>#N/A</v>
      </c>
      <c r="O32" s="37" t="e">
        <f t="shared" si="17"/>
        <v>#N/A</v>
      </c>
      <c r="P32" s="37">
        <f t="shared" si="17"/>
        <v>3.7827847264991802E-3</v>
      </c>
      <c r="Q32" s="51">
        <f>_xlfn.STDEV.P(Q9:Q10)</f>
        <v>4.7320385384157278E-3</v>
      </c>
    </row>
    <row r="33" spans="4:17" ht="15.75" thickBot="1" x14ac:dyDescent="0.3">
      <c r="D33" s="48"/>
      <c r="J33" s="49" t="s">
        <v>17</v>
      </c>
      <c r="K33" s="37">
        <f>_xlfn.STDEV.P(K11:K12)</f>
        <v>0</v>
      </c>
      <c r="L33" s="37">
        <f t="shared" ref="L33:P33" si="18">_xlfn.STDEV.P(L11:L12)</f>
        <v>5.4617915171631523E-4</v>
      </c>
      <c r="M33" s="37">
        <f t="shared" si="18"/>
        <v>9.9774483306968968E-4</v>
      </c>
      <c r="N33" s="37" t="e">
        <f t="shared" si="18"/>
        <v>#N/A</v>
      </c>
      <c r="O33" s="37" t="e">
        <f t="shared" si="18"/>
        <v>#N/A</v>
      </c>
      <c r="P33" s="37">
        <f t="shared" si="18"/>
        <v>3.0733623854588017E-4</v>
      </c>
      <c r="Q33" s="51">
        <f>_xlfn.STDEV.P(Q11:Q12)</f>
        <v>6.1267775939213322E-5</v>
      </c>
    </row>
    <row r="34" spans="4:17" x14ac:dyDescent="0.25">
      <c r="J34" s="49" t="s">
        <v>127</v>
      </c>
      <c r="K34" s="37">
        <f>_xlfn.STDEV.P(K13:K14)</f>
        <v>0</v>
      </c>
      <c r="L34" s="37">
        <f t="shared" ref="L34:P34" si="19">_xlfn.STDEV.P(L13:L14)</f>
        <v>4.2778714029655107E-4</v>
      </c>
      <c r="M34" s="37">
        <f t="shared" si="19"/>
        <v>5.3200364448291893E-4</v>
      </c>
      <c r="N34" s="37" t="e">
        <f t="shared" si="19"/>
        <v>#N/A</v>
      </c>
      <c r="O34" s="37" t="e">
        <f t="shared" si="19"/>
        <v>#N/A</v>
      </c>
      <c r="P34" s="37">
        <f t="shared" si="19"/>
        <v>1.7413974155640602E-3</v>
      </c>
      <c r="Q34" s="51">
        <f>_xlfn.STDEV.P(Q13:Q14)</f>
        <v>7.1164109162431821E-4</v>
      </c>
    </row>
    <row r="35" spans="4:17" ht="15.75" thickBot="1" x14ac:dyDescent="0.3">
      <c r="J35" s="52" t="s">
        <v>46</v>
      </c>
      <c r="K35" s="40">
        <f>_xlfn.STDEV.P(K15:K16)</f>
        <v>0</v>
      </c>
      <c r="L35" s="40">
        <f t="shared" ref="L35:Q35" si="20">_xlfn.STDEV.P(L15:L16)</f>
        <v>1.6349409186860661E-4</v>
      </c>
      <c r="M35" s="40">
        <f t="shared" si="20"/>
        <v>8.9455625756504602E-4</v>
      </c>
      <c r="N35" s="40" t="e">
        <f t="shared" si="20"/>
        <v>#N/A</v>
      </c>
      <c r="O35" s="40" t="e">
        <f t="shared" si="20"/>
        <v>#N/A</v>
      </c>
      <c r="P35" s="40">
        <f t="shared" si="20"/>
        <v>5.7263590951837267E-4</v>
      </c>
      <c r="Q35" s="54">
        <f t="shared" si="20"/>
        <v>1.2292185880412742E-5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T60"/>
  <sheetViews>
    <sheetView topLeftCell="A14" workbookViewId="0">
      <selection activeCell="N54" sqref="N54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4">
        <v>6.6</v>
      </c>
      <c r="C5" s="14">
        <v>1759</v>
      </c>
      <c r="D5" s="14">
        <v>9003</v>
      </c>
      <c r="E5" s="14">
        <v>18084</v>
      </c>
      <c r="F5" s="15">
        <v>53</v>
      </c>
      <c r="G5" s="15">
        <v>263</v>
      </c>
      <c r="H5" s="15">
        <v>525</v>
      </c>
      <c r="I5">
        <f>LINEST(C5:E5, F5:H5)</f>
        <v>34.589846450966839</v>
      </c>
      <c r="J5">
        <f>INTERCEPT(C5:E5, F5:H5)</f>
        <v>-81.353621754369669</v>
      </c>
      <c r="K5">
        <f>RSQ(C5:E5,F5:H5)</f>
        <v>0.99999816291755361</v>
      </c>
    </row>
    <row r="6" spans="1:20" ht="15.75" x14ac:dyDescent="0.25">
      <c r="A6" s="3" t="s">
        <v>57</v>
      </c>
      <c r="B6" s="14">
        <v>7.5880000000000001</v>
      </c>
      <c r="C6" s="14">
        <v>2823</v>
      </c>
      <c r="D6" s="14">
        <v>14377</v>
      </c>
      <c r="E6" s="14">
        <v>28777</v>
      </c>
      <c r="F6" s="15">
        <v>49</v>
      </c>
      <c r="G6" s="15">
        <v>247</v>
      </c>
      <c r="H6" s="15">
        <v>495</v>
      </c>
      <c r="I6">
        <f t="shared" ref="I6:I12" si="0">LINEST(C6:E6, F6:H6)</f>
        <v>58.187515018823589</v>
      </c>
      <c r="J6">
        <f>INTERCEPT(C6:E6, F6:H6)</f>
        <v>-16.441459963152738</v>
      </c>
      <c r="K6">
        <f t="shared" ref="K6:K12" si="1">RSQ(C6:E6,F6:H6)</f>
        <v>0.99999801209887107</v>
      </c>
    </row>
    <row r="7" spans="1:20" ht="15.75" x14ac:dyDescent="0.25">
      <c r="A7" s="3" t="s">
        <v>58</v>
      </c>
      <c r="B7" s="14">
        <v>7.9429999999999996</v>
      </c>
      <c r="C7" s="14">
        <v>3184</v>
      </c>
      <c r="D7" s="14">
        <v>16436</v>
      </c>
      <c r="E7" s="14">
        <v>33680</v>
      </c>
      <c r="F7" s="15">
        <v>47</v>
      </c>
      <c r="G7" s="15">
        <v>235</v>
      </c>
      <c r="H7" s="15">
        <v>469</v>
      </c>
      <c r="I7">
        <f t="shared" si="0"/>
        <v>72.322673985025219</v>
      </c>
      <c r="J7">
        <f t="shared" ref="J7:J12" si="2">INTERCEPT(C7:E7, F7:H7)</f>
        <v>-338.10938758464181</v>
      </c>
      <c r="K7">
        <f t="shared" si="1"/>
        <v>0.99984169870556217</v>
      </c>
    </row>
    <row r="8" spans="1:20" ht="15.75" x14ac:dyDescent="0.25">
      <c r="A8" s="3" t="s">
        <v>59</v>
      </c>
      <c r="B8" s="14">
        <v>8.6750000000000007</v>
      </c>
      <c r="C8" s="14">
        <v>3235</v>
      </c>
      <c r="D8" s="14">
        <v>16723</v>
      </c>
      <c r="E8" s="14">
        <v>34369</v>
      </c>
      <c r="F8" s="15">
        <v>45</v>
      </c>
      <c r="G8" s="15">
        <v>227</v>
      </c>
      <c r="H8" s="15">
        <v>453</v>
      </c>
      <c r="I8">
        <f t="shared" si="0"/>
        <v>76.379073181629607</v>
      </c>
      <c r="J8">
        <f t="shared" si="2"/>
        <v>-349.27601889382277</v>
      </c>
      <c r="K8">
        <f>RSQ(C8:E8,F8:H8)</f>
        <v>0.99978183701890677</v>
      </c>
    </row>
    <row r="9" spans="1:20" ht="15.75" x14ac:dyDescent="0.25">
      <c r="A9" s="3" t="s">
        <v>60</v>
      </c>
      <c r="B9" s="14">
        <v>9.15</v>
      </c>
      <c r="C9" s="14">
        <v>3576</v>
      </c>
      <c r="D9" s="14">
        <v>18277</v>
      </c>
      <c r="E9" s="14">
        <v>37728</v>
      </c>
      <c r="F9" s="15">
        <v>46</v>
      </c>
      <c r="G9" s="15">
        <v>228</v>
      </c>
      <c r="H9" s="15">
        <v>455</v>
      </c>
      <c r="I9">
        <f t="shared" si="0"/>
        <v>83.589856867274747</v>
      </c>
      <c r="J9">
        <f t="shared" si="2"/>
        <v>-452.0018854144364</v>
      </c>
      <c r="K9">
        <f t="shared" si="1"/>
        <v>0.99972143981416439</v>
      </c>
    </row>
    <row r="10" spans="1:20" ht="15.75" x14ac:dyDescent="0.25">
      <c r="A10" s="3" t="s">
        <v>61</v>
      </c>
      <c r="B10" s="14">
        <v>9.9359999999999999</v>
      </c>
      <c r="C10" s="14">
        <v>3524</v>
      </c>
      <c r="D10" s="14">
        <v>18350</v>
      </c>
      <c r="E10" s="14">
        <v>38104</v>
      </c>
      <c r="F10" s="15">
        <v>44</v>
      </c>
      <c r="G10" s="15">
        <v>221</v>
      </c>
      <c r="H10" s="15">
        <v>443</v>
      </c>
      <c r="I10">
        <f t="shared" si="0"/>
        <v>86.763116415221788</v>
      </c>
      <c r="J10">
        <f t="shared" si="2"/>
        <v>-483.42880732567573</v>
      </c>
      <c r="K10">
        <f t="shared" si="1"/>
        <v>0.99970862829672691</v>
      </c>
    </row>
    <row r="11" spans="1:20" ht="15.75" x14ac:dyDescent="0.25">
      <c r="A11" s="3" t="s">
        <v>62</v>
      </c>
      <c r="B11" s="14">
        <v>11.121</v>
      </c>
      <c r="C11" s="14">
        <v>3757</v>
      </c>
      <c r="D11" s="14">
        <v>19080</v>
      </c>
      <c r="E11" s="14">
        <v>40121</v>
      </c>
      <c r="F11" s="15">
        <v>44</v>
      </c>
      <c r="G11" s="15">
        <v>222</v>
      </c>
      <c r="H11" s="15">
        <v>444</v>
      </c>
      <c r="I11">
        <f t="shared" si="0"/>
        <v>91.066847050230734</v>
      </c>
      <c r="J11">
        <f t="shared" si="2"/>
        <v>-566.48713522127582</v>
      </c>
      <c r="K11">
        <f t="shared" si="1"/>
        <v>0.99926506539172411</v>
      </c>
    </row>
    <row r="12" spans="1:20" ht="15.75" x14ac:dyDescent="0.25">
      <c r="A12" s="3" t="s">
        <v>63</v>
      </c>
      <c r="B12" s="14">
        <v>12.25</v>
      </c>
      <c r="C12" s="14">
        <v>4168</v>
      </c>
      <c r="D12" s="14">
        <v>20509</v>
      </c>
      <c r="E12" s="14">
        <v>43755</v>
      </c>
      <c r="F12" s="15">
        <v>47</v>
      </c>
      <c r="G12" s="15">
        <v>234</v>
      </c>
      <c r="H12" s="15">
        <v>467</v>
      </c>
      <c r="I12">
        <f t="shared" si="0"/>
        <v>94.477203773272407</v>
      </c>
      <c r="J12">
        <f t="shared" si="2"/>
        <v>-745.64947413592381</v>
      </c>
      <c r="K12">
        <f t="shared" si="1"/>
        <v>0.99861553654111779</v>
      </c>
    </row>
    <row r="14" spans="1:20" x14ac:dyDescent="0.25">
      <c r="A14" s="16" t="s">
        <v>64</v>
      </c>
      <c r="B14" s="3" t="s">
        <v>31</v>
      </c>
      <c r="C14" s="3"/>
      <c r="F14" s="16" t="s">
        <v>64</v>
      </c>
      <c r="G14" s="3" t="s">
        <v>32</v>
      </c>
      <c r="H14" s="3"/>
      <c r="K14" s="16" t="s">
        <v>64</v>
      </c>
      <c r="L14" s="3" t="s">
        <v>33</v>
      </c>
      <c r="M14" s="3"/>
      <c r="P14" s="16" t="s">
        <v>64</v>
      </c>
      <c r="Q14" s="3" t="s">
        <v>34</v>
      </c>
    </row>
    <row r="15" spans="1:20" x14ac:dyDescent="0.25">
      <c r="A15" s="16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6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6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6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24752</v>
      </c>
      <c r="C16">
        <v>1</v>
      </c>
      <c r="D16">
        <f>IF(B16=0,0,(B16-$J$5)/$I$5)*C16</f>
        <v>717.93766581060493</v>
      </c>
      <c r="E16">
        <f>1.07*D16/1000</f>
        <v>0.7681933024173474</v>
      </c>
      <c r="F16" s="3" t="s">
        <v>56</v>
      </c>
      <c r="G16">
        <v>23057</v>
      </c>
      <c r="H16">
        <v>1</v>
      </c>
      <c r="I16">
        <f>IF(G16=0,0,(G16-$J$5)/$I$5)*H16</f>
        <v>668.93484637332404</v>
      </c>
      <c r="J16">
        <f>1.07*I16/1000</f>
        <v>0.71576028561945682</v>
      </c>
      <c r="K16" s="3" t="s">
        <v>56</v>
      </c>
      <c r="L16">
        <v>23657</v>
      </c>
      <c r="M16">
        <v>1</v>
      </c>
      <c r="N16">
        <f>IF(L16=0,0,(L16-$J$5)/$I$5)*M16</f>
        <v>686.2809771475828</v>
      </c>
      <c r="O16">
        <f>1.07*N16/1000</f>
        <v>0.73432064554791365</v>
      </c>
      <c r="P16" s="3" t="s">
        <v>56</v>
      </c>
      <c r="Q16">
        <v>24380</v>
      </c>
      <c r="R16">
        <v>1</v>
      </c>
      <c r="S16">
        <f>IF(Q16=0,0,(Q16-$J$5)/$I$5)*R16</f>
        <v>707.18306473056452</v>
      </c>
      <c r="T16">
        <f>1.07*S16/1000</f>
        <v>0.75668587926170405</v>
      </c>
    </row>
    <row r="17" spans="1:20" x14ac:dyDescent="0.25">
      <c r="A17" s="3" t="s">
        <v>57</v>
      </c>
      <c r="B17">
        <v>1374</v>
      </c>
      <c r="C17">
        <v>1</v>
      </c>
      <c r="D17">
        <f>IF(B17=0,0,(B17-$J$6)/$I$6)*C17</f>
        <v>23.895872843398564</v>
      </c>
      <c r="E17">
        <f>1.51*D17/1000</f>
        <v>3.6082767993531835E-2</v>
      </c>
      <c r="F17" s="3" t="s">
        <v>57</v>
      </c>
      <c r="G17">
        <v>1405</v>
      </c>
      <c r="H17">
        <v>1</v>
      </c>
      <c r="I17">
        <f>IF(G17=0,0,(G17-$J$6)/$I$6)*H17</f>
        <v>24.428633178497453</v>
      </c>
      <c r="J17">
        <f>1.51*I17/1000</f>
        <v>3.6887236099531151E-2</v>
      </c>
      <c r="K17" s="3" t="s">
        <v>57</v>
      </c>
      <c r="L17">
        <v>1357</v>
      </c>
      <c r="M17">
        <v>1</v>
      </c>
      <c r="N17">
        <f>IF(L17=0,0,(L17-$J$6)/$I$6)*M17</f>
        <v>23.603713949957239</v>
      </c>
      <c r="O17">
        <f>1.51*N17/1000</f>
        <v>3.5641608064435434E-2</v>
      </c>
      <c r="P17" s="3" t="s">
        <v>57</v>
      </c>
      <c r="Q17">
        <v>1453</v>
      </c>
      <c r="R17">
        <v>1</v>
      </c>
      <c r="S17">
        <f>IF(Q17=0,0,(Q17-$J$6)/$I$6)*R17</f>
        <v>25.253552407037667</v>
      </c>
      <c r="T17">
        <f>1.51*S17/1000</f>
        <v>3.8132864134626882E-2</v>
      </c>
    </row>
    <row r="18" spans="1:20" x14ac:dyDescent="0.25">
      <c r="A18" s="3" t="s">
        <v>58</v>
      </c>
      <c r="B18">
        <v>437</v>
      </c>
      <c r="C18">
        <v>1</v>
      </c>
      <c r="D18">
        <f>IF(B18=0,0,(B18-$J$7)/$I$7)*C18</f>
        <v>10.717377343447398</v>
      </c>
      <c r="E18">
        <f>1.82*D18/1000</f>
        <v>1.9505626765074266E-2</v>
      </c>
      <c r="F18" s="3" t="s">
        <v>58</v>
      </c>
      <c r="G18">
        <v>258</v>
      </c>
      <c r="H18">
        <v>1</v>
      </c>
      <c r="I18">
        <f>IF(G18=0,0,(G18-$J$7)/$I$7)*H18</f>
        <v>8.2423582362022358</v>
      </c>
      <c r="J18">
        <f>1.82*I18/1000</f>
        <v>1.5001091989888068E-2</v>
      </c>
      <c r="K18" s="3" t="s">
        <v>58</v>
      </c>
      <c r="L18">
        <v>0</v>
      </c>
      <c r="M18">
        <v>1</v>
      </c>
      <c r="N18">
        <f>IF(L18=0,0,(L18-$J$7)/$I$7)*M18</f>
        <v>0</v>
      </c>
      <c r="O18">
        <f>1.82*N18/1000</f>
        <v>0</v>
      </c>
      <c r="P18" s="3" t="s">
        <v>58</v>
      </c>
      <c r="Q18">
        <v>226</v>
      </c>
      <c r="R18">
        <v>1</v>
      </c>
      <c r="S18">
        <f>IF(Q18=0,0,(Q18-$J$7)/$I$7)*R18</f>
        <v>7.799896719823213</v>
      </c>
      <c r="T18">
        <f>1.82*S18/1000</f>
        <v>1.4195812030078248E-2</v>
      </c>
    </row>
    <row r="19" spans="1:20" x14ac:dyDescent="0.25">
      <c r="A19" s="3" t="s">
        <v>59</v>
      </c>
      <c r="B19">
        <v>839</v>
      </c>
      <c r="C19">
        <v>1</v>
      </c>
      <c r="D19">
        <f>IF(B19=0,0,(B19-$J$8)/$I$8)*C19</f>
        <v>15.557612437481399</v>
      </c>
      <c r="E19">
        <f>1.82*D19/1000</f>
        <v>2.8314854636216146E-2</v>
      </c>
      <c r="F19" s="3" t="s">
        <v>59</v>
      </c>
      <c r="G19">
        <v>544</v>
      </c>
      <c r="H19">
        <v>1</v>
      </c>
      <c r="I19">
        <f>IF(G19=0,0,(G19-$J$8)/$I$8)*H19</f>
        <v>11.695297961649919</v>
      </c>
      <c r="J19">
        <f>1.82*I19/1000</f>
        <v>2.1285442290202853E-2</v>
      </c>
      <c r="K19" s="3" t="s">
        <v>59</v>
      </c>
      <c r="L19">
        <v>499</v>
      </c>
      <c r="M19">
        <v>1</v>
      </c>
      <c r="N19">
        <f>IF(L19=0,0,(L19-$J$8)/$I$8)*M19</f>
        <v>11.106131346692575</v>
      </c>
      <c r="O19">
        <f>1.82*N19/1000</f>
        <v>2.0213159050980485E-2</v>
      </c>
      <c r="P19" s="3" t="s">
        <v>59</v>
      </c>
      <c r="Q19">
        <v>523</v>
      </c>
      <c r="R19">
        <v>1</v>
      </c>
      <c r="S19">
        <f>IF(Q19=0,0,(Q19-$J$8)/$I$8)*R19</f>
        <v>11.420353541336492</v>
      </c>
      <c r="T19">
        <f>1.82*S19/1000</f>
        <v>2.0785043445232416E-2</v>
      </c>
    </row>
    <row r="20" spans="1:20" x14ac:dyDescent="0.25">
      <c r="A20" s="3" t="s">
        <v>60</v>
      </c>
      <c r="B20">
        <v>766</v>
      </c>
      <c r="C20">
        <v>1</v>
      </c>
      <c r="D20">
        <f>IF(B20=0,0,(B20-$J$9)/$I$9)*C20</f>
        <v>14.571168453469163</v>
      </c>
      <c r="E20">
        <f>2.04*D20/1000</f>
        <v>2.9725183645077091E-2</v>
      </c>
      <c r="F20" s="3" t="s">
        <v>60</v>
      </c>
      <c r="G20">
        <v>433</v>
      </c>
      <c r="H20">
        <v>1</v>
      </c>
      <c r="I20">
        <f>IF(G20=0,0,(G20-$J$9)/$I$9)*H20</f>
        <v>10.587431520784344</v>
      </c>
      <c r="J20">
        <f>2.04*I20/1000</f>
        <v>2.1598360302400064E-2</v>
      </c>
      <c r="K20" s="3" t="s">
        <v>60</v>
      </c>
      <c r="L20">
        <v>326</v>
      </c>
      <c r="M20">
        <v>1</v>
      </c>
      <c r="N20">
        <f>IF(L20=0,0,(L20-$J$9)/$I$9)*M20</f>
        <v>9.3073719057775115</v>
      </c>
      <c r="O20">
        <f>2.04*N20/1000</f>
        <v>1.8987038687786124E-2</v>
      </c>
      <c r="P20" s="3" t="s">
        <v>60</v>
      </c>
      <c r="Q20">
        <v>298</v>
      </c>
      <c r="R20">
        <v>1</v>
      </c>
      <c r="S20">
        <f>IF(Q20=0,0,(Q20-$J$9)/$I$9)*R20</f>
        <v>8.9724030345607702</v>
      </c>
      <c r="T20">
        <f>2.04*S20/1000</f>
        <v>1.8303702190503972E-2</v>
      </c>
    </row>
    <row r="21" spans="1:20" x14ac:dyDescent="0.25">
      <c r="A21" s="3" t="s">
        <v>61</v>
      </c>
      <c r="B21">
        <v>717</v>
      </c>
      <c r="C21">
        <v>1</v>
      </c>
      <c r="D21">
        <f>IF(B21=0,0,(B21-$J$10)/$I$10)*C21</f>
        <v>13.835704120870785</v>
      </c>
      <c r="E21">
        <f>2.04*D21/1000</f>
        <v>2.8224836406576401E-2</v>
      </c>
      <c r="F21" s="3" t="s">
        <v>61</v>
      </c>
      <c r="G21">
        <v>278</v>
      </c>
      <c r="H21">
        <v>1</v>
      </c>
      <c r="I21">
        <f>IF(G21=0,0,(G21-$J$10)/$I$10)*H21</f>
        <v>8.7759504128656456</v>
      </c>
      <c r="J21">
        <f>2.04*I21/1000</f>
        <v>1.7902938842245916E-2</v>
      </c>
      <c r="K21" s="3" t="s">
        <v>61</v>
      </c>
      <c r="L21">
        <v>0</v>
      </c>
      <c r="M21">
        <v>1</v>
      </c>
      <c r="N21">
        <f>IF(L21=0,0,(L21-$J$10)/$I$10)*M21</f>
        <v>0</v>
      </c>
      <c r="O21">
        <f>2.04*N21/1000</f>
        <v>0</v>
      </c>
      <c r="P21" s="3" t="s">
        <v>61</v>
      </c>
      <c r="Q21">
        <v>0</v>
      </c>
      <c r="R21">
        <v>1</v>
      </c>
      <c r="S21">
        <f>IF(Q21=0,0,(Q21-$J$10)/$I$10)*R21</f>
        <v>0</v>
      </c>
      <c r="T21">
        <f>2.04*S21/1000</f>
        <v>0</v>
      </c>
    </row>
    <row r="22" spans="1:20" x14ac:dyDescent="0.25">
      <c r="A22" s="3" t="s">
        <v>62</v>
      </c>
      <c r="B22">
        <v>1319</v>
      </c>
      <c r="C22">
        <v>1</v>
      </c>
      <c r="D22">
        <f>IF(B22=0,0,(B22-$J$11)/$I$11)*1</f>
        <v>20.704429727113283</v>
      </c>
      <c r="E22">
        <f>2.21*D22/1000</f>
        <v>4.5756789696920361E-2</v>
      </c>
      <c r="F22" s="3" t="s">
        <v>62</v>
      </c>
      <c r="G22">
        <v>582</v>
      </c>
      <c r="H22">
        <v>1</v>
      </c>
      <c r="I22">
        <f>IF(G22=0,0,(G22-$J$11)/$I$11)*1</f>
        <v>12.611473575974276</v>
      </c>
      <c r="J22">
        <f>2.21*I22/1000</f>
        <v>2.7871356602903151E-2</v>
      </c>
      <c r="K22" s="3" t="s">
        <v>62</v>
      </c>
      <c r="L22">
        <v>356</v>
      </c>
      <c r="M22">
        <v>1</v>
      </c>
      <c r="N22">
        <f>IF(L22=0,0,(L22-$J$11)/$I$11)*1</f>
        <v>10.129780102219302</v>
      </c>
      <c r="O22">
        <f>2.21*N22/1000</f>
        <v>2.2386814025904655E-2</v>
      </c>
      <c r="P22" s="3" t="s">
        <v>62</v>
      </c>
      <c r="Q22">
        <v>245</v>
      </c>
      <c r="R22">
        <v>1</v>
      </c>
      <c r="S22">
        <f>IF(Q22=0,0,(Q22-$J$11)/$I$11)*1</f>
        <v>8.9108952544900895</v>
      </c>
      <c r="T22">
        <f>2.21*S22/1000</f>
        <v>1.9693078512423096E-2</v>
      </c>
    </row>
    <row r="23" spans="1:20" x14ac:dyDescent="0.25">
      <c r="A23" s="3" t="s">
        <v>63</v>
      </c>
      <c r="B23">
        <v>2102</v>
      </c>
      <c r="C23">
        <v>1</v>
      </c>
      <c r="D23">
        <f>IF(B23=0,0,(B23-$J$12)/$I$12)*1</f>
        <v>30.141127810786497</v>
      </c>
      <c r="E23">
        <f>2.34*D23/1000</f>
        <v>7.0530239077240389E-2</v>
      </c>
      <c r="F23" s="3" t="s">
        <v>63</v>
      </c>
      <c r="G23">
        <v>982</v>
      </c>
      <c r="H23">
        <v>1</v>
      </c>
      <c r="I23">
        <f>IF(G23=0,0,(G23-$J$12)/$I$12)*1</f>
        <v>18.286416247902075</v>
      </c>
      <c r="J23">
        <f>2.34*I23/1000</f>
        <v>4.2790214020090853E-2</v>
      </c>
      <c r="K23" s="3" t="s">
        <v>63</v>
      </c>
      <c r="L23">
        <v>507</v>
      </c>
      <c r="M23">
        <v>1</v>
      </c>
      <c r="N23">
        <f>IF(L23=0,0,(L23-$J$12)/$I$12)*1</f>
        <v>13.25874839757163</v>
      </c>
      <c r="O23">
        <f>2.34*N23/1000</f>
        <v>3.1025471250317613E-2</v>
      </c>
      <c r="P23" s="3" t="s">
        <v>63</v>
      </c>
      <c r="Q23">
        <v>423</v>
      </c>
      <c r="R23">
        <v>1</v>
      </c>
      <c r="S23">
        <f>IF(Q23=0,0,(Q23-$J$12)/$I$12)*1</f>
        <v>12.369645030355297</v>
      </c>
      <c r="T23">
        <f>2.34*S23/1000</f>
        <v>2.8944969371031394E-2</v>
      </c>
    </row>
    <row r="24" spans="1:20" x14ac:dyDescent="0.25">
      <c r="B24" s="3" t="s">
        <v>69</v>
      </c>
      <c r="C24" s="3"/>
      <c r="D24" s="3">
        <f>SUM(D16:D23)</f>
        <v>847.36095854717212</v>
      </c>
      <c r="E24" s="3">
        <f>SUM(E16:E23)</f>
        <v>1.026333600637984</v>
      </c>
      <c r="G24" s="3" t="s">
        <v>69</v>
      </c>
      <c r="H24" s="3"/>
      <c r="I24" s="3">
        <f>SUM(I16:I23)</f>
        <v>763.56240750719985</v>
      </c>
      <c r="J24" s="3">
        <f>SUM(J16:J23)</f>
        <v>0.89909692576671896</v>
      </c>
      <c r="L24" s="3" t="s">
        <v>69</v>
      </c>
      <c r="M24" s="3"/>
      <c r="N24" s="3">
        <f>SUM(N16:N23)</f>
        <v>753.68672284980107</v>
      </c>
      <c r="O24" s="3">
        <f>SUM(O16:O23)</f>
        <v>0.86257473662733808</v>
      </c>
      <c r="Q24" s="3" t="s">
        <v>69</v>
      </c>
      <c r="R24" s="3"/>
      <c r="S24" s="3">
        <f>SUM(S16:S23)</f>
        <v>781.90981071816805</v>
      </c>
      <c r="T24" s="3">
        <f>SUM(T16:T23)</f>
        <v>0.89674134894560009</v>
      </c>
    </row>
    <row r="26" spans="1:20" x14ac:dyDescent="0.25">
      <c r="A26" s="16" t="s">
        <v>64</v>
      </c>
      <c r="B26" s="3" t="s">
        <v>35</v>
      </c>
      <c r="C26" s="3"/>
      <c r="F26" s="16" t="s">
        <v>64</v>
      </c>
      <c r="G26" s="3" t="s">
        <v>36</v>
      </c>
      <c r="H26" s="3"/>
      <c r="K26" s="16" t="s">
        <v>64</v>
      </c>
      <c r="L26" s="3" t="s">
        <v>37</v>
      </c>
      <c r="M26" s="3"/>
      <c r="P26" s="16" t="s">
        <v>64</v>
      </c>
      <c r="Q26" s="3" t="s">
        <v>38</v>
      </c>
      <c r="R26" s="3"/>
    </row>
    <row r="27" spans="1:20" x14ac:dyDescent="0.25">
      <c r="A27" s="16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6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6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6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23409</v>
      </c>
      <c r="C28">
        <v>1</v>
      </c>
      <c r="D28">
        <f>IF(B28=0,0,(B28-$J$5)/$I$5)*C28</f>
        <v>679.11124309422246</v>
      </c>
      <c r="E28">
        <f>1.07*D28/1000</f>
        <v>0.72664903011081805</v>
      </c>
      <c r="F28" s="3" t="s">
        <v>56</v>
      </c>
      <c r="G28">
        <v>24828</v>
      </c>
      <c r="H28">
        <v>1</v>
      </c>
      <c r="I28">
        <f>IF(G28=0,0,(G28-$J$5)/$I$5)*H28</f>
        <v>720.13484237534442</v>
      </c>
      <c r="J28">
        <f>1.07*I28/1000</f>
        <v>0.77054428134161856</v>
      </c>
      <c r="K28" s="3" t="s">
        <v>56</v>
      </c>
      <c r="L28">
        <v>23527</v>
      </c>
      <c r="M28">
        <v>1</v>
      </c>
      <c r="N28">
        <f>IF(L28=0,0,(L28-$J$5)/$I$5)*M28</f>
        <v>682.52264881316</v>
      </c>
      <c r="O28">
        <f>1.07*N28/1000</f>
        <v>0.73029923423008125</v>
      </c>
      <c r="P28" s="3" t="s">
        <v>56</v>
      </c>
      <c r="Q28">
        <v>18966</v>
      </c>
      <c r="R28">
        <v>1</v>
      </c>
      <c r="S28">
        <f>IF(Q28=0,0,(Q28-$J$5)/$I$5)*R28</f>
        <v>550.6631447108366</v>
      </c>
      <c r="T28">
        <f>1.07*S28/1000</f>
        <v>0.58920956484059528</v>
      </c>
    </row>
    <row r="29" spans="1:20" x14ac:dyDescent="0.25">
      <c r="A29" s="3" t="s">
        <v>57</v>
      </c>
      <c r="B29">
        <v>1304</v>
      </c>
      <c r="C29">
        <v>1</v>
      </c>
      <c r="D29">
        <f>IF(B29=0,0,(B29-$J$6)/$I$6)*C29</f>
        <v>22.692865635110756</v>
      </c>
      <c r="E29">
        <f>1.51*D29/1000</f>
        <v>3.4266227109017243E-2</v>
      </c>
      <c r="F29" s="3" t="s">
        <v>57</v>
      </c>
      <c r="G29">
        <v>1399</v>
      </c>
      <c r="H29">
        <v>1</v>
      </c>
      <c r="I29">
        <f>IF(G29=0,0,(G29-$J$6)/$I$6)*H29</f>
        <v>24.325518274929927</v>
      </c>
      <c r="J29">
        <f>1.51*I29/1000</f>
        <v>3.6731532595144188E-2</v>
      </c>
      <c r="K29" s="3" t="s">
        <v>57</v>
      </c>
      <c r="L29">
        <v>1227</v>
      </c>
      <c r="M29">
        <v>1</v>
      </c>
      <c r="N29">
        <f>IF(L29=0,0,(L29-$J$6)/$I$6)*M29</f>
        <v>21.369557705994165</v>
      </c>
      <c r="O29">
        <f>1.51*N29/1000</f>
        <v>3.2268032136051186E-2</v>
      </c>
      <c r="P29" s="3" t="s">
        <v>57</v>
      </c>
      <c r="Q29">
        <v>852</v>
      </c>
      <c r="R29">
        <v>1</v>
      </c>
      <c r="S29">
        <f>IF(Q29=0,0,(Q29-$J$6)/$I$6)*R29</f>
        <v>14.924876233023751</v>
      </c>
      <c r="T29">
        <f>1.51*S29/1000</f>
        <v>2.2536563111865863E-2</v>
      </c>
    </row>
    <row r="30" spans="1:20" x14ac:dyDescent="0.25">
      <c r="A30" s="3" t="s">
        <v>58</v>
      </c>
      <c r="B30">
        <v>0</v>
      </c>
      <c r="C30">
        <v>1</v>
      </c>
      <c r="D30">
        <f>IF(B30=0,0,(B30-$J$7)/$I$7)*C30</f>
        <v>0</v>
      </c>
      <c r="E30">
        <f>1.82*D30/1000</f>
        <v>0</v>
      </c>
      <c r="F30" s="3" t="s">
        <v>58</v>
      </c>
      <c r="G30">
        <v>491</v>
      </c>
      <c r="H30">
        <v>1</v>
      </c>
      <c r="I30">
        <f>IF(G30=0,0,(G30-$J$7)/$I$7)*H30</f>
        <v>11.464031152337</v>
      </c>
      <c r="J30">
        <f>1.82*I30/1000</f>
        <v>2.0864536697253341E-2</v>
      </c>
      <c r="K30" s="3" t="s">
        <v>58</v>
      </c>
      <c r="L30">
        <v>298</v>
      </c>
      <c r="M30">
        <v>1</v>
      </c>
      <c r="N30">
        <f>IF(L30=0,0,(L30-$J$7)/$I$7)*M30</f>
        <v>8.7954351316760153</v>
      </c>
      <c r="O30">
        <f>1.82*N30/1000</f>
        <v>1.6007691939650352E-2</v>
      </c>
      <c r="P30" s="3" t="s">
        <v>58</v>
      </c>
      <c r="Q30">
        <v>403</v>
      </c>
      <c r="R30">
        <v>1</v>
      </c>
      <c r="S30">
        <f>IF(Q30=0,0,(Q30-$J$7)/$I$7)*R30</f>
        <v>10.247261982294686</v>
      </c>
      <c r="T30">
        <f>1.82*S30/1000</f>
        <v>1.8650016807776327E-2</v>
      </c>
    </row>
    <row r="31" spans="1:20" x14ac:dyDescent="0.25">
      <c r="A31" s="3" t="s">
        <v>59</v>
      </c>
      <c r="B31">
        <v>496</v>
      </c>
      <c r="C31">
        <v>1</v>
      </c>
      <c r="D31">
        <f>IF(B31=0,0,(B31-$J$8)/$I$8)*C31</f>
        <v>11.066853572362085</v>
      </c>
      <c r="E31">
        <f>1.82*D31/1000</f>
        <v>2.0141673501698997E-2</v>
      </c>
      <c r="F31" s="3" t="s">
        <v>59</v>
      </c>
      <c r="G31">
        <v>449</v>
      </c>
      <c r="H31">
        <v>1</v>
      </c>
      <c r="I31">
        <f>IF(G31=0,0,(G31-$J$8)/$I$8)*H31</f>
        <v>10.451501774517748</v>
      </c>
      <c r="J31">
        <f>1.82*I31/1000</f>
        <v>1.9021733229622303E-2</v>
      </c>
      <c r="K31" s="3" t="s">
        <v>59</v>
      </c>
      <c r="L31">
        <v>537</v>
      </c>
      <c r="M31">
        <v>1</v>
      </c>
      <c r="N31">
        <f>IF(L31=0,0,(L31-$J$8)/$I$8)*M31</f>
        <v>11.603649821545444</v>
      </c>
      <c r="O31">
        <f>1.82*N31/1000</f>
        <v>2.1118642675212709E-2</v>
      </c>
      <c r="P31" s="3" t="s">
        <v>59</v>
      </c>
      <c r="Q31">
        <v>654</v>
      </c>
      <c r="R31">
        <v>1</v>
      </c>
      <c r="S31">
        <f>IF(Q31=0,0,(Q31-$J$8)/$I$8)*R31</f>
        <v>13.135483020434538</v>
      </c>
      <c r="T31">
        <f>1.82*S31/1000</f>
        <v>2.390657909719086E-2</v>
      </c>
    </row>
    <row r="32" spans="1:20" x14ac:dyDescent="0.25">
      <c r="A32" s="3" t="s">
        <v>60</v>
      </c>
      <c r="B32">
        <v>262</v>
      </c>
      <c r="C32">
        <v>1</v>
      </c>
      <c r="D32">
        <f>IF(B32=0,0,(B32-$J$9)/$I$9)*C32</f>
        <v>8.5417287715678167</v>
      </c>
      <c r="E32">
        <f>2.04*D32/1000</f>
        <v>1.7425126693998347E-2</v>
      </c>
      <c r="F32" s="3" t="s">
        <v>60</v>
      </c>
      <c r="G32">
        <v>228</v>
      </c>
      <c r="H32">
        <v>1</v>
      </c>
      <c r="I32">
        <f>IF(G32=0,0,(G32-$J$9)/$I$9)*H32</f>
        <v>8.1349808565189168</v>
      </c>
      <c r="J32">
        <f>2.04*I32/1000</f>
        <v>1.659536094729859E-2</v>
      </c>
      <c r="K32" s="3" t="s">
        <v>60</v>
      </c>
      <c r="L32">
        <v>272</v>
      </c>
      <c r="M32">
        <v>1</v>
      </c>
      <c r="N32">
        <f>IF(L32=0,0,(L32-$J$9)/$I$9)*M32</f>
        <v>8.6613605112880823</v>
      </c>
      <c r="O32">
        <f>2.04*N32/1000</f>
        <v>1.7669175443027686E-2</v>
      </c>
      <c r="P32" s="3" t="s">
        <v>60</v>
      </c>
      <c r="Q32">
        <v>253</v>
      </c>
      <c r="R32">
        <v>1</v>
      </c>
      <c r="S32">
        <f>IF(Q32=0,0,(Q32-$J$9)/$I$9)*R32</f>
        <v>8.4340602058195788</v>
      </c>
      <c r="T32">
        <f>2.04*S32/1000</f>
        <v>1.7205482819871942E-2</v>
      </c>
    </row>
    <row r="33" spans="1:20" x14ac:dyDescent="0.25">
      <c r="A33" s="3" t="s">
        <v>61</v>
      </c>
      <c r="B33">
        <v>0</v>
      </c>
      <c r="C33">
        <v>1</v>
      </c>
      <c r="D33">
        <f>IF(B33=0,0,(B33-$J$10)/$I$10)*C33</f>
        <v>0</v>
      </c>
      <c r="E33">
        <f>2.04*D33/1000</f>
        <v>0</v>
      </c>
      <c r="F33" s="3" t="s">
        <v>61</v>
      </c>
      <c r="G33">
        <v>0</v>
      </c>
      <c r="H33">
        <v>1</v>
      </c>
      <c r="I33">
        <f>IF(G33=0,0,(G33-$J$10)/$I$10)*H33</f>
        <v>0</v>
      </c>
      <c r="J33">
        <f>2.04*I33/1000</f>
        <v>0</v>
      </c>
      <c r="K33" s="3" t="s">
        <v>61</v>
      </c>
      <c r="L33">
        <v>0</v>
      </c>
      <c r="M33">
        <v>1</v>
      </c>
      <c r="N33">
        <f>IF(L33=0,0,(L33-$J$10)/$I$10)*M33</f>
        <v>0</v>
      </c>
      <c r="O33">
        <f>2.04*N33/1000</f>
        <v>0</v>
      </c>
      <c r="P33" s="3" t="s">
        <v>61</v>
      </c>
      <c r="Q33">
        <v>0</v>
      </c>
      <c r="R33">
        <v>1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62</v>
      </c>
      <c r="B34">
        <v>0</v>
      </c>
      <c r="C34">
        <v>1</v>
      </c>
      <c r="D34">
        <f>IF(B34=0,0,(B34-$J$11)/$I$11)*1</f>
        <v>0</v>
      </c>
      <c r="E34">
        <f>2.21*D34/1000</f>
        <v>0</v>
      </c>
      <c r="F34" s="3" t="s">
        <v>62</v>
      </c>
      <c r="G34">
        <v>0</v>
      </c>
      <c r="H34">
        <v>1</v>
      </c>
      <c r="I34">
        <f>IF(G34=0,0,(G34-$J$11)/$I$11)*1</f>
        <v>0</v>
      </c>
      <c r="J34">
        <f>2.21*I34/1000</f>
        <v>0</v>
      </c>
      <c r="K34" s="3" t="s">
        <v>62</v>
      </c>
      <c r="L34">
        <v>0</v>
      </c>
      <c r="M34">
        <v>1</v>
      </c>
      <c r="N34">
        <f>IF(L34=0,0,(L34-$J$11)/$I$11)*1</f>
        <v>0</v>
      </c>
      <c r="O34">
        <f>2.21*N34/1000</f>
        <v>0</v>
      </c>
      <c r="P34" s="3" t="s">
        <v>62</v>
      </c>
      <c r="Q34">
        <v>1231</v>
      </c>
      <c r="R34">
        <v>1</v>
      </c>
      <c r="S34">
        <f>IF(Q34=0,0,(Q34-$J$11)/$I$11)*1</f>
        <v>19.738106604589223</v>
      </c>
      <c r="T34">
        <f>2.21*S34/1000</f>
        <v>4.3621215596142189E-2</v>
      </c>
    </row>
    <row r="35" spans="1:20" x14ac:dyDescent="0.25">
      <c r="A35" s="3" t="s">
        <v>63</v>
      </c>
      <c r="B35">
        <v>228</v>
      </c>
      <c r="C35">
        <v>1</v>
      </c>
      <c r="D35">
        <f>IF(B35=0,0,(B35-$J$12)/$I$12)*1</f>
        <v>10.305655070745956</v>
      </c>
      <c r="E35">
        <f>2.34*D35/1000</f>
        <v>2.4115232865545535E-2</v>
      </c>
      <c r="F35" s="3" t="s">
        <v>63</v>
      </c>
      <c r="G35">
        <v>0</v>
      </c>
      <c r="H35">
        <v>1</v>
      </c>
      <c r="I35">
        <f>IF(G35=0,0,(G35-$J$12)/$I$12)*1</f>
        <v>0</v>
      </c>
      <c r="J35">
        <f>2.34*I35/1000</f>
        <v>0</v>
      </c>
      <c r="K35" s="3" t="s">
        <v>63</v>
      </c>
      <c r="L35">
        <v>0</v>
      </c>
      <c r="M35">
        <v>1</v>
      </c>
      <c r="N35">
        <f>IF(L35=0,0,(L35-$J$12)/$I$12)*1</f>
        <v>0</v>
      </c>
      <c r="O35">
        <f>2.34*N35/1000</f>
        <v>0</v>
      </c>
      <c r="P35" s="3" t="s">
        <v>63</v>
      </c>
      <c r="Q35">
        <v>0</v>
      </c>
      <c r="R35">
        <v>1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69</v>
      </c>
      <c r="C36" s="3"/>
      <c r="D36" s="3">
        <f>SUM(D28:D35)</f>
        <v>731.71834614400905</v>
      </c>
      <c r="E36" s="3">
        <f>SUM(E28:E35)</f>
        <v>0.8225972902810782</v>
      </c>
      <c r="G36" s="3" t="s">
        <v>69</v>
      </c>
      <c r="H36" s="3"/>
      <c r="I36" s="3">
        <f>SUM(I28:I35)</f>
        <v>774.51087443364804</v>
      </c>
      <c r="J36" s="3">
        <f>SUM(J28:J35)</f>
        <v>0.86375744481093697</v>
      </c>
      <c r="L36" s="3" t="s">
        <v>69</v>
      </c>
      <c r="M36" s="3"/>
      <c r="N36" s="3">
        <f>SUM(N28:N35)</f>
        <v>732.9526519836636</v>
      </c>
      <c r="O36" s="3">
        <f>SUM(O28:O35)</f>
        <v>0.81736277642402322</v>
      </c>
      <c r="Q36" s="3" t="s">
        <v>69</v>
      </c>
      <c r="R36" s="3"/>
      <c r="S36" s="3">
        <f>SUM(S28:S35)</f>
        <v>617.14293275699845</v>
      </c>
      <c r="T36" s="3">
        <f>SUM(T28:T35)</f>
        <v>0.71512942227344256</v>
      </c>
    </row>
    <row r="38" spans="1:20" x14ac:dyDescent="0.25">
      <c r="A38" s="16" t="s">
        <v>64</v>
      </c>
      <c r="B38" s="3" t="s">
        <v>39</v>
      </c>
      <c r="C38" s="3"/>
      <c r="F38" s="16" t="s">
        <v>64</v>
      </c>
      <c r="G38" s="3" t="s">
        <v>40</v>
      </c>
      <c r="H38" s="3"/>
      <c r="K38" s="16" t="s">
        <v>64</v>
      </c>
      <c r="L38" s="3" t="s">
        <v>41</v>
      </c>
      <c r="M38" s="3"/>
      <c r="P38" s="16" t="s">
        <v>64</v>
      </c>
      <c r="Q38" s="3" t="s">
        <v>42</v>
      </c>
      <c r="R38" s="3"/>
    </row>
    <row r="39" spans="1:20" x14ac:dyDescent="0.25">
      <c r="A39" s="16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6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6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6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15228</v>
      </c>
      <c r="C40">
        <v>1</v>
      </c>
      <c r="D40">
        <f>IF(B40=0,0,(B40-$J$5)/$I$5)*C40</f>
        <v>442.5967499872047</v>
      </c>
      <c r="E40">
        <f>1.07*D40/1000</f>
        <v>0.47357852248630905</v>
      </c>
      <c r="F40" s="3" t="s">
        <v>56</v>
      </c>
      <c r="G40">
        <v>17572</v>
      </c>
      <c r="H40">
        <v>1</v>
      </c>
      <c r="I40">
        <f>IF(G40=0,0,(G40-$J$5)/$I$5)*H40</f>
        <v>510.36230087864215</v>
      </c>
      <c r="J40">
        <f>1.07*I40/1000</f>
        <v>0.54608766194014713</v>
      </c>
      <c r="K40" s="3" t="s">
        <v>56</v>
      </c>
      <c r="L40">
        <v>16871</v>
      </c>
      <c r="M40">
        <v>1</v>
      </c>
      <c r="N40">
        <f>IF(L40=0,0,(L40-$J$5)/$I$5)*M40</f>
        <v>490.0962380907165</v>
      </c>
      <c r="O40">
        <f>1.07*N40/1000</f>
        <v>0.52440297475706665</v>
      </c>
      <c r="P40" s="3" t="s">
        <v>56</v>
      </c>
      <c r="Q40">
        <v>14932</v>
      </c>
      <c r="R40">
        <v>1</v>
      </c>
      <c r="S40">
        <f>IF(Q40=0,0,(Q40-$J$5)/$I$5)*R40</f>
        <v>434.03932547190374</v>
      </c>
      <c r="T40">
        <f>1.07*S40/1000</f>
        <v>0.46442207825493703</v>
      </c>
    </row>
    <row r="41" spans="1:20" x14ac:dyDescent="0.25">
      <c r="A41" s="3" t="s">
        <v>57</v>
      </c>
      <c r="B41">
        <v>836</v>
      </c>
      <c r="C41">
        <v>1</v>
      </c>
      <c r="D41">
        <f>IF(B41=0,0,(B41-$J$6)/$I$6)*C41</f>
        <v>14.649903156843679</v>
      </c>
      <c r="E41">
        <f>1.51*D41/1000</f>
        <v>2.2121353766833954E-2</v>
      </c>
      <c r="F41" s="3" t="s">
        <v>57</v>
      </c>
      <c r="G41">
        <v>677</v>
      </c>
      <c r="H41">
        <v>1</v>
      </c>
      <c r="I41">
        <f>IF(G41=0,0,(G41-$J$6)/$I$6)*H41</f>
        <v>11.917358212304226</v>
      </c>
      <c r="J41">
        <f>1.51*I41/1000</f>
        <v>1.7995210900579379E-2</v>
      </c>
      <c r="K41" s="3" t="s">
        <v>57</v>
      </c>
      <c r="L41">
        <v>675</v>
      </c>
      <c r="M41">
        <v>1</v>
      </c>
      <c r="N41">
        <f>IF(L41=0,0,(L41-$J$6)/$I$6)*M41</f>
        <v>11.882986577781717</v>
      </c>
      <c r="O41">
        <f>1.51*N41/1000</f>
        <v>1.794330973245039E-2</v>
      </c>
      <c r="P41" s="3" t="s">
        <v>57</v>
      </c>
      <c r="Q41">
        <v>754</v>
      </c>
      <c r="R41">
        <v>1</v>
      </c>
      <c r="S41">
        <f>IF(Q41=0,0,(Q41-$J$6)/$I$6)*R41</f>
        <v>13.240666141420816</v>
      </c>
      <c r="T41">
        <f>1.51*S41/1000</f>
        <v>1.9993405873545429E-2</v>
      </c>
    </row>
    <row r="42" spans="1:20" x14ac:dyDescent="0.25">
      <c r="A42" s="3" t="s">
        <v>58</v>
      </c>
      <c r="B42">
        <v>0</v>
      </c>
      <c r="C42">
        <v>1</v>
      </c>
      <c r="D42">
        <f>IF(B42=0,0,(B42-$J$7)/$I$7)*C42</f>
        <v>0</v>
      </c>
      <c r="E42">
        <f>1.82*D42/1000</f>
        <v>0</v>
      </c>
      <c r="F42" s="3" t="s">
        <v>58</v>
      </c>
      <c r="G42">
        <v>0</v>
      </c>
      <c r="H42">
        <v>1</v>
      </c>
      <c r="I42">
        <f>IF(G42=0,0,(G42-$J$7)/$I$7)*H42</f>
        <v>0</v>
      </c>
      <c r="J42">
        <f>1.82*I42/1000</f>
        <v>0</v>
      </c>
      <c r="K42" s="3" t="s">
        <v>58</v>
      </c>
      <c r="L42">
        <v>0</v>
      </c>
      <c r="M42">
        <v>1</v>
      </c>
      <c r="N42">
        <f>IF(L42=0,0,(L42-$J$7)/$I$7)*M42</f>
        <v>0</v>
      </c>
      <c r="O42">
        <f>1.82*N42/1000</f>
        <v>0</v>
      </c>
      <c r="P42" s="3" t="s">
        <v>58</v>
      </c>
      <c r="Q42">
        <v>0</v>
      </c>
      <c r="R42">
        <v>1</v>
      </c>
      <c r="S42">
        <f>IF(Q42=0,0,(Q42-$J$7)/$I$7)*R42</f>
        <v>0</v>
      </c>
      <c r="T42">
        <f>1.82*S42/1000</f>
        <v>0</v>
      </c>
    </row>
    <row r="43" spans="1:20" x14ac:dyDescent="0.25">
      <c r="A43" s="3" t="s">
        <v>59</v>
      </c>
      <c r="B43">
        <v>623</v>
      </c>
      <c r="C43">
        <v>1</v>
      </c>
      <c r="D43">
        <f>IF(B43=0,0,(B43-$J$8)/$I$8)*C43</f>
        <v>12.729612685686146</v>
      </c>
      <c r="E43">
        <f>1.82*D43/1000</f>
        <v>2.3167895087948785E-2</v>
      </c>
      <c r="F43" s="3" t="s">
        <v>59</v>
      </c>
      <c r="G43">
        <v>649</v>
      </c>
      <c r="H43">
        <v>1</v>
      </c>
      <c r="I43">
        <f>IF(G43=0,0,(G43-$J$8)/$I$8)*H43</f>
        <v>13.070020063217056</v>
      </c>
      <c r="J43">
        <f>1.82*I43/1000</f>
        <v>2.3787436515055042E-2</v>
      </c>
      <c r="K43" s="3" t="s">
        <v>59</v>
      </c>
      <c r="L43">
        <v>573</v>
      </c>
      <c r="M43">
        <v>1</v>
      </c>
      <c r="N43">
        <f>IF(L43=0,0,(L43-$J$8)/$I$8)*M43</f>
        <v>12.074983113511319</v>
      </c>
      <c r="O43">
        <f>1.82*N43/1000</f>
        <v>2.1976469266590602E-2</v>
      </c>
      <c r="P43" s="3" t="s">
        <v>59</v>
      </c>
      <c r="Q43">
        <v>578</v>
      </c>
      <c r="R43">
        <v>1</v>
      </c>
      <c r="S43">
        <f>IF(Q43=0,0,(Q43-$J$8)/$I$8)*R43</f>
        <v>12.140446070728801</v>
      </c>
      <c r="T43">
        <f>1.82*S43/1000</f>
        <v>2.209561184872642E-2</v>
      </c>
    </row>
    <row r="44" spans="1:20" x14ac:dyDescent="0.25">
      <c r="A44" s="3" t="s">
        <v>60</v>
      </c>
      <c r="B44">
        <v>215</v>
      </c>
      <c r="C44">
        <v>1</v>
      </c>
      <c r="D44">
        <f>IF(B44=0,0,(B44-$J$9)/$I$9)*C44</f>
        <v>7.9794595948825728</v>
      </c>
      <c r="E44">
        <f>2.04*D44/1000</f>
        <v>1.6278097573560447E-2</v>
      </c>
      <c r="F44" s="3" t="s">
        <v>60</v>
      </c>
      <c r="G44">
        <v>201</v>
      </c>
      <c r="H44">
        <v>1</v>
      </c>
      <c r="I44">
        <f>IF(G44=0,0,(G44-$J$9)/$I$9)*H44</f>
        <v>7.8119751592742022</v>
      </c>
      <c r="J44">
        <f>2.04*I44/1000</f>
        <v>1.5936429324919371E-2</v>
      </c>
      <c r="K44" s="3" t="s">
        <v>60</v>
      </c>
      <c r="L44">
        <v>0</v>
      </c>
      <c r="M44">
        <v>1</v>
      </c>
      <c r="N44">
        <f>IF(L44=0,0,(L44-$J$9)/$I$9)*M44</f>
        <v>0</v>
      </c>
      <c r="O44">
        <f>2.04*N44/1000</f>
        <v>0</v>
      </c>
      <c r="P44" s="3" t="s">
        <v>60</v>
      </c>
      <c r="Q44">
        <v>238</v>
      </c>
      <c r="R44">
        <v>1</v>
      </c>
      <c r="S44">
        <f>IF(Q44=0,0,(Q44-$J$9)/$I$9)*R44</f>
        <v>8.2546125962391823</v>
      </c>
      <c r="T44">
        <f>2.04*S44/1000</f>
        <v>1.6839409696327932E-2</v>
      </c>
    </row>
    <row r="45" spans="1:20" x14ac:dyDescent="0.25">
      <c r="A45" s="3" t="s">
        <v>61</v>
      </c>
      <c r="B45">
        <v>0</v>
      </c>
      <c r="C45">
        <v>1</v>
      </c>
      <c r="D45">
        <f>IF(B45=0,0,(B45-$J$10)/$I$10)*C45</f>
        <v>0</v>
      </c>
      <c r="E45">
        <f>2.04*D45/1000</f>
        <v>0</v>
      </c>
      <c r="F45" s="3" t="s">
        <v>61</v>
      </c>
      <c r="G45">
        <v>0</v>
      </c>
      <c r="H45">
        <v>1</v>
      </c>
      <c r="I45">
        <f>IF(G45=0,0,(G45-$J$10)/$I$10)*H45</f>
        <v>0</v>
      </c>
      <c r="J45">
        <f>2.04*I45/1000</f>
        <v>0</v>
      </c>
      <c r="K45" s="3" t="s">
        <v>61</v>
      </c>
      <c r="L45">
        <v>0</v>
      </c>
      <c r="M45">
        <v>1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1489</v>
      </c>
      <c r="C46">
        <v>1</v>
      </c>
      <c r="D46">
        <f>IF(B46=0,0,(B46-$J$11)/$I$11)*1</f>
        <v>22.57119030471658</v>
      </c>
      <c r="E46">
        <f>2.21*D46/1000</f>
        <v>4.9882330573423644E-2</v>
      </c>
      <c r="F46" s="3" t="s">
        <v>62</v>
      </c>
      <c r="G46">
        <v>1986</v>
      </c>
      <c r="H46">
        <v>1</v>
      </c>
      <c r="I46">
        <f>IF(G46=0,0,(G46-$J$11)/$I$11)*1</f>
        <v>28.028719758062696</v>
      </c>
      <c r="J46">
        <f>2.21*I46/1000</f>
        <v>6.1943470665318558E-2</v>
      </c>
      <c r="K46" s="3" t="s">
        <v>62</v>
      </c>
      <c r="L46">
        <v>3371</v>
      </c>
      <c r="M46">
        <v>1</v>
      </c>
      <c r="N46">
        <f>IF(L46=0,0,(L46-$J$11)/$I$11)*1</f>
        <v>43.237327993242516</v>
      </c>
      <c r="O46">
        <f>2.21*N46/1000</f>
        <v>9.5554494865065967E-2</v>
      </c>
      <c r="P46" s="3" t="s">
        <v>62</v>
      </c>
      <c r="Q46">
        <v>4223</v>
      </c>
      <c r="R46">
        <v>1</v>
      </c>
      <c r="S46">
        <f>IF(Q46=0,0,(Q46-$J$11)/$I$11)*1</f>
        <v>52.593092770407281</v>
      </c>
      <c r="T46">
        <f>2.21*S46/1000</f>
        <v>0.11623073502260009</v>
      </c>
    </row>
    <row r="47" spans="1:20" x14ac:dyDescent="0.25">
      <c r="A47" s="3" t="s">
        <v>63</v>
      </c>
      <c r="B47">
        <v>202</v>
      </c>
      <c r="C47">
        <v>1</v>
      </c>
      <c r="D47">
        <f>IF(B47=0,0,(B47-$J$12)/$I$12)*1</f>
        <v>10.030456409464712</v>
      </c>
      <c r="E47">
        <f>2.34*D47/1000</f>
        <v>2.3471267998147426E-2</v>
      </c>
      <c r="F47" s="3" t="s">
        <v>63</v>
      </c>
      <c r="G47">
        <v>314</v>
      </c>
      <c r="H47">
        <v>1</v>
      </c>
      <c r="I47">
        <f>IF(G47=0,0,(G47-$J$12)/$I$12)*1</f>
        <v>11.215927565753153</v>
      </c>
      <c r="J47">
        <f>2.34*I47/1000</f>
        <v>2.624527050386238E-2</v>
      </c>
      <c r="K47" s="3" t="s">
        <v>63</v>
      </c>
      <c r="L47">
        <v>254</v>
      </c>
      <c r="M47">
        <v>1</v>
      </c>
      <c r="N47">
        <f>IF(L47=0,0,(L47-$J$12)/$I$12)*1</f>
        <v>10.580853732027203</v>
      </c>
      <c r="O47">
        <f>2.34*N47/1000</f>
        <v>2.4759197732943654E-2</v>
      </c>
      <c r="P47" s="3" t="s">
        <v>63</v>
      </c>
      <c r="Q47">
        <v>0</v>
      </c>
      <c r="R47">
        <v>1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510.55737213879843</v>
      </c>
      <c r="E48" s="3">
        <f>SUM(E40:E47)</f>
        <v>0.6084994674862233</v>
      </c>
      <c r="F48" s="3"/>
      <c r="G48" s="3" t="s">
        <v>69</v>
      </c>
      <c r="H48" s="3"/>
      <c r="I48" s="3">
        <f>SUM(I40:I47)</f>
        <v>582.40630163725348</v>
      </c>
      <c r="J48" s="3">
        <f>SUM(J40:J47)</f>
        <v>0.69199547984988186</v>
      </c>
      <c r="K48" s="3"/>
      <c r="L48" s="3" t="s">
        <v>69</v>
      </c>
      <c r="M48" s="3"/>
      <c r="N48" s="3">
        <f>SUM(N40:N47)</f>
        <v>567.87238950727919</v>
      </c>
      <c r="O48" s="3">
        <f>SUM(O40:O47)</f>
        <v>0.68463644635411725</v>
      </c>
      <c r="P48" s="3"/>
      <c r="Q48" s="3" t="s">
        <v>69</v>
      </c>
      <c r="R48" s="3"/>
      <c r="S48" s="3">
        <f>SUM(S40:S47)</f>
        <v>520.26814305069979</v>
      </c>
      <c r="T48" s="3">
        <f>SUM(T40:T47)</f>
        <v>0.63958124069613687</v>
      </c>
    </row>
    <row r="50" spans="1:13" x14ac:dyDescent="0.25">
      <c r="A50" s="16" t="s">
        <v>64</v>
      </c>
      <c r="B50" s="3" t="s">
        <v>43</v>
      </c>
      <c r="C50" s="3"/>
      <c r="F50" s="16" t="s">
        <v>64</v>
      </c>
      <c r="G50" s="3" t="s">
        <v>44</v>
      </c>
      <c r="H50" s="3"/>
      <c r="M50" s="3"/>
    </row>
    <row r="51" spans="1:13" x14ac:dyDescent="0.25">
      <c r="A51" s="16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6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B52">
        <v>18024</v>
      </c>
      <c r="C52">
        <v>1</v>
      </c>
      <c r="D52">
        <f>IF(B52=0,0,(B52-$J$5)/$I$5)*C52</f>
        <v>523.42971939525034</v>
      </c>
      <c r="E52">
        <f>1.07*D52/1000</f>
        <v>0.56006979975291793</v>
      </c>
      <c r="F52" s="3" t="s">
        <v>56</v>
      </c>
      <c r="G52">
        <v>18720</v>
      </c>
      <c r="H52">
        <v>1</v>
      </c>
      <c r="I52">
        <f>IF(G52=0,0,(G52-$J$5)/$I$5)*H52</f>
        <v>543.55123109339047</v>
      </c>
      <c r="J52">
        <f>1.07*I52/1000</f>
        <v>0.58159981726992782</v>
      </c>
    </row>
    <row r="53" spans="1:13" x14ac:dyDescent="0.25">
      <c r="A53" s="3" t="s">
        <v>57</v>
      </c>
      <c r="B53">
        <v>714</v>
      </c>
      <c r="C53">
        <v>1</v>
      </c>
      <c r="D53">
        <f>IF(B53=0,0,(B53-$J$6)/$I$6)*C53</f>
        <v>12.553233450970639</v>
      </c>
      <c r="E53">
        <f>1.51*D53/1000</f>
        <v>1.8955382510965665E-2</v>
      </c>
      <c r="F53" s="3" t="s">
        <v>57</v>
      </c>
      <c r="G53">
        <v>786</v>
      </c>
      <c r="H53">
        <v>1</v>
      </c>
      <c r="I53">
        <f>IF(G53=0,0,(G53-$J$6)/$I$6)*H53</f>
        <v>13.790612293780958</v>
      </c>
      <c r="J53">
        <f>1.51*I53/1000</f>
        <v>2.0823824563609247E-2</v>
      </c>
    </row>
    <row r="54" spans="1:13" x14ac:dyDescent="0.25">
      <c r="A54" s="3" t="s">
        <v>58</v>
      </c>
      <c r="B54">
        <v>0</v>
      </c>
      <c r="C54">
        <v>1</v>
      </c>
      <c r="D54">
        <f>IF(B54=0,0,(B54-$J$7)/$I$7)*C54</f>
        <v>0</v>
      </c>
      <c r="E54">
        <f>1.82*D54/1000</f>
        <v>0</v>
      </c>
      <c r="F54" s="3" t="s">
        <v>58</v>
      </c>
      <c r="G54">
        <v>0</v>
      </c>
      <c r="H54">
        <v>1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59</v>
      </c>
      <c r="B55">
        <v>580</v>
      </c>
      <c r="C55">
        <v>1</v>
      </c>
      <c r="D55">
        <f>IF(B55=0,0,(B55-$J$8)/$I$8)*C55</f>
        <v>12.166631253615796</v>
      </c>
      <c r="E55">
        <f>1.82*D55/1000</f>
        <v>2.214326888158075E-2</v>
      </c>
      <c r="F55" s="3" t="s">
        <v>59</v>
      </c>
      <c r="G55">
        <v>619</v>
      </c>
      <c r="H55">
        <v>1</v>
      </c>
      <c r="I55">
        <f>IF(G55=0,0,(G55-$J$8)/$I$8)*H55</f>
        <v>12.67724231991216</v>
      </c>
      <c r="J55">
        <f>1.82*I55/1000</f>
        <v>2.3072581022240132E-2</v>
      </c>
    </row>
    <row r="56" spans="1:13" x14ac:dyDescent="0.25">
      <c r="A56" s="3" t="s">
        <v>60</v>
      </c>
      <c r="B56">
        <v>205</v>
      </c>
      <c r="C56">
        <v>1</v>
      </c>
      <c r="D56">
        <f>IF(B56=0,0,(B56-$J$9)/$I$9)*C56</f>
        <v>7.8598278551623082</v>
      </c>
      <c r="E56">
        <f>2.04*D56/1000</f>
        <v>1.6034048824531109E-2</v>
      </c>
      <c r="F56" s="3" t="s">
        <v>60</v>
      </c>
      <c r="G56">
        <v>235</v>
      </c>
      <c r="H56">
        <v>1</v>
      </c>
      <c r="I56">
        <f>IF(G56=0,0,(G56-$J$9)/$I$9)*H56</f>
        <v>8.218723074323103</v>
      </c>
      <c r="J56">
        <f>2.04*I56/1000</f>
        <v>1.6766195071619128E-2</v>
      </c>
    </row>
    <row r="57" spans="1:13" x14ac:dyDescent="0.25">
      <c r="A57" s="3" t="s">
        <v>61</v>
      </c>
      <c r="B57">
        <v>0</v>
      </c>
      <c r="C57">
        <v>1</v>
      </c>
      <c r="D57">
        <f>IF(B57=0,0,(B57-$J$10)/$I$10)*C57</f>
        <v>0</v>
      </c>
      <c r="E57">
        <f>2.04*D57/1000</f>
        <v>0</v>
      </c>
      <c r="F57" s="3" t="s">
        <v>61</v>
      </c>
      <c r="G57">
        <v>0</v>
      </c>
      <c r="H57">
        <v>1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62</v>
      </c>
      <c r="B58">
        <v>4693</v>
      </c>
      <c r="C58">
        <v>1</v>
      </c>
      <c r="D58">
        <f>IF(B58=0,0,(B58-$J$11)/$I$11)*1</f>
        <v>57.754136720251701</v>
      </c>
      <c r="E58">
        <f>2.21*D58/1000</f>
        <v>0.12763664215175627</v>
      </c>
      <c r="F58" s="3" t="s">
        <v>62</v>
      </c>
      <c r="G58">
        <v>4348</v>
      </c>
      <c r="H58">
        <v>1</v>
      </c>
      <c r="I58">
        <f>IF(G58=0,0,(G58-$J$11)/$I$11)*1</f>
        <v>53.965710842174417</v>
      </c>
      <c r="J58">
        <f>2.21*I58/1000</f>
        <v>0.11926422096120545</v>
      </c>
    </row>
    <row r="59" spans="1:13" x14ac:dyDescent="0.25">
      <c r="A59" s="3" t="s">
        <v>63</v>
      </c>
      <c r="B59">
        <v>320</v>
      </c>
      <c r="C59">
        <v>1</v>
      </c>
      <c r="D59">
        <f>IF(B59=0,0,(B59-$J$12)/$I$12)*1</f>
        <v>11.279434949125749</v>
      </c>
      <c r="E59">
        <f>2.34*D59/1000</f>
        <v>2.6393877780954252E-2</v>
      </c>
      <c r="F59" s="3" t="s">
        <v>63</v>
      </c>
      <c r="G59">
        <v>319</v>
      </c>
      <c r="H59">
        <v>1</v>
      </c>
      <c r="I59">
        <f>IF(G59=0,0,(G59-$J$12)/$I$12)*1</f>
        <v>11.268850385230316</v>
      </c>
      <c r="J59">
        <f>2.34*I59/1000</f>
        <v>2.6369109901438936E-2</v>
      </c>
    </row>
    <row r="60" spans="1:13" x14ac:dyDescent="0.25">
      <c r="B60" s="3" t="s">
        <v>69</v>
      </c>
      <c r="C60" s="3"/>
      <c r="D60" s="3">
        <f>SUM(D52:D59)</f>
        <v>625.04298362437657</v>
      </c>
      <c r="E60" s="3">
        <f>SUM(E52:E59)</f>
        <v>0.77123301990270599</v>
      </c>
      <c r="G60" s="3" t="s">
        <v>69</v>
      </c>
      <c r="H60" s="3"/>
      <c r="I60" s="3">
        <f>SUM(I52:I59)</f>
        <v>643.47237000881137</v>
      </c>
      <c r="J60" s="3">
        <f>SUM(J52:J59)</f>
        <v>0.78789574879004065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T60"/>
  <sheetViews>
    <sheetView workbookViewId="0">
      <selection activeCell="M54" sqref="M54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4">
        <v>6.6040000000000001</v>
      </c>
      <c r="C5" s="14">
        <v>2545</v>
      </c>
      <c r="D5" s="14">
        <v>7663</v>
      </c>
      <c r="E5" s="14">
        <v>15528</v>
      </c>
      <c r="F5" s="15">
        <v>53</v>
      </c>
      <c r="G5" s="15">
        <v>263</v>
      </c>
      <c r="H5" s="15">
        <v>525</v>
      </c>
      <c r="I5">
        <f>LINEST(C5:E5, F5:H5)</f>
        <v>27.608384397129306</v>
      </c>
      <c r="J5">
        <f>INTERCEPT(C5:E5, F5:H5)</f>
        <v>839.11624067142111</v>
      </c>
      <c r="K5">
        <f>RSQ(C5:E5,F5:H5)</f>
        <v>0.99663569221991655</v>
      </c>
    </row>
    <row r="6" spans="1:20" ht="15.75" x14ac:dyDescent="0.25">
      <c r="A6" s="3" t="s">
        <v>57</v>
      </c>
      <c r="B6" s="14">
        <v>7.601</v>
      </c>
      <c r="C6" s="14">
        <v>2382</v>
      </c>
      <c r="D6" s="14">
        <v>11446</v>
      </c>
      <c r="E6" s="14">
        <v>24075</v>
      </c>
      <c r="F6" s="15">
        <v>49</v>
      </c>
      <c r="G6" s="15">
        <v>247</v>
      </c>
      <c r="H6" s="15">
        <v>495</v>
      </c>
      <c r="I6">
        <f t="shared" ref="I6:I12" si="0">LINEST(C6:E6, F6:H6)</f>
        <v>48.733552719408323</v>
      </c>
      <c r="J6">
        <f>INTERCEPT(C6:E6, F6:H6)</f>
        <v>-215.08006701732847</v>
      </c>
      <c r="K6">
        <f t="shared" ref="K6:K12" si="1">RSQ(C6:E6,F6:H6)</f>
        <v>0.99910251060695476</v>
      </c>
    </row>
    <row r="7" spans="1:20" ht="15.75" x14ac:dyDescent="0.25">
      <c r="A7" s="3" t="s">
        <v>58</v>
      </c>
      <c r="B7" s="14">
        <v>7.9470000000000001</v>
      </c>
      <c r="C7" s="14">
        <v>2667</v>
      </c>
      <c r="D7" s="14">
        <v>13490</v>
      </c>
      <c r="E7" s="14">
        <v>28601</v>
      </c>
      <c r="F7" s="15">
        <v>47</v>
      </c>
      <c r="G7" s="15">
        <v>235</v>
      </c>
      <c r="H7" s="15">
        <v>469</v>
      </c>
      <c r="I7">
        <f t="shared" si="0"/>
        <v>61.580280702801062</v>
      </c>
      <c r="J7">
        <f t="shared" ref="J7:J12" si="2">INTERCEPT(C7:E7, F7:H7)</f>
        <v>-496.26360260119873</v>
      </c>
      <c r="K7">
        <f t="shared" si="1"/>
        <v>0.99895569818614061</v>
      </c>
    </row>
    <row r="8" spans="1:20" ht="15.75" x14ac:dyDescent="0.25">
      <c r="A8" s="3" t="s">
        <v>59</v>
      </c>
      <c r="B8" s="14">
        <v>8.6739999999999995</v>
      </c>
      <c r="C8" s="14">
        <v>2663</v>
      </c>
      <c r="D8" s="14">
        <v>13399</v>
      </c>
      <c r="E8" s="14">
        <v>28502</v>
      </c>
      <c r="F8" s="15">
        <v>45</v>
      </c>
      <c r="G8" s="15">
        <v>227</v>
      </c>
      <c r="H8" s="15">
        <v>453</v>
      </c>
      <c r="I8">
        <f t="shared" si="0"/>
        <v>63.46959276162513</v>
      </c>
      <c r="J8">
        <f t="shared" si="2"/>
        <v>-483.81825072607171</v>
      </c>
      <c r="K8">
        <f>RSQ(C8:E8,F8:H8)</f>
        <v>0.99876948143458455</v>
      </c>
    </row>
    <row r="9" spans="1:20" ht="15.75" x14ac:dyDescent="0.25">
      <c r="A9" s="3" t="s">
        <v>60</v>
      </c>
      <c r="B9" s="14">
        <v>9.1489999999999991</v>
      </c>
      <c r="C9" s="14">
        <v>2908</v>
      </c>
      <c r="D9" s="14">
        <v>14750</v>
      </c>
      <c r="E9" s="14">
        <v>31316</v>
      </c>
      <c r="F9" s="15">
        <v>46</v>
      </c>
      <c r="G9" s="15">
        <v>228</v>
      </c>
      <c r="H9" s="15">
        <v>455</v>
      </c>
      <c r="I9">
        <f t="shared" si="0"/>
        <v>69.599966657934218</v>
      </c>
      <c r="J9">
        <f t="shared" si="2"/>
        <v>-588.12523121134836</v>
      </c>
      <c r="K9">
        <f t="shared" si="1"/>
        <v>0.99895852591130396</v>
      </c>
    </row>
    <row r="10" spans="1:20" ht="15.75" x14ac:dyDescent="0.25">
      <c r="A10" s="3" t="s">
        <v>61</v>
      </c>
      <c r="B10" s="14">
        <v>9.9329999999999998</v>
      </c>
      <c r="C10" s="14">
        <v>2826</v>
      </c>
      <c r="D10" s="14">
        <v>14644</v>
      </c>
      <c r="E10" s="14">
        <v>31233</v>
      </c>
      <c r="F10" s="15">
        <v>44</v>
      </c>
      <c r="G10" s="15">
        <v>221</v>
      </c>
      <c r="H10" s="15">
        <v>443</v>
      </c>
      <c r="I10">
        <f t="shared" si="0"/>
        <v>71.342527959168365</v>
      </c>
      <c r="J10">
        <f t="shared" si="2"/>
        <v>-602.50326503039651</v>
      </c>
      <c r="K10">
        <f t="shared" si="1"/>
        <v>0.99899913241406213</v>
      </c>
    </row>
    <row r="11" spans="1:20" ht="15.75" x14ac:dyDescent="0.25">
      <c r="A11" s="3" t="s">
        <v>62</v>
      </c>
      <c r="B11" s="14">
        <v>11.118</v>
      </c>
      <c r="C11" s="14">
        <v>6169</v>
      </c>
      <c r="D11" s="14">
        <v>17057</v>
      </c>
      <c r="E11" s="14">
        <v>35607</v>
      </c>
      <c r="F11" s="15">
        <v>44</v>
      </c>
      <c r="G11" s="15">
        <v>222</v>
      </c>
      <c r="H11" s="15">
        <v>444</v>
      </c>
      <c r="I11">
        <f t="shared" si="0"/>
        <v>73.998887819129536</v>
      </c>
      <c r="J11">
        <f t="shared" si="2"/>
        <v>2097.9298828060128</v>
      </c>
      <c r="K11">
        <f t="shared" si="1"/>
        <v>0.99266819144741503</v>
      </c>
    </row>
    <row r="12" spans="1:20" ht="15.75" x14ac:dyDescent="0.25">
      <c r="A12" s="3" t="s">
        <v>63</v>
      </c>
      <c r="B12" s="14">
        <v>12.246</v>
      </c>
      <c r="C12" s="14">
        <v>3538</v>
      </c>
      <c r="D12" s="14">
        <v>16890</v>
      </c>
      <c r="E12" s="14">
        <v>35777</v>
      </c>
      <c r="F12" s="15">
        <v>47</v>
      </c>
      <c r="G12" s="15">
        <v>234</v>
      </c>
      <c r="H12" s="15">
        <v>467</v>
      </c>
      <c r="I12">
        <f t="shared" si="0"/>
        <v>76.93303043763035</v>
      </c>
      <c r="J12">
        <f t="shared" si="2"/>
        <v>-446.96892244916671</v>
      </c>
      <c r="K12">
        <f t="shared" si="1"/>
        <v>0.99872954721177964</v>
      </c>
    </row>
    <row r="14" spans="1:20" x14ac:dyDescent="0.25">
      <c r="A14" s="16" t="s">
        <v>64</v>
      </c>
      <c r="B14" s="3" t="s">
        <v>31</v>
      </c>
      <c r="C14" s="3"/>
      <c r="F14" s="16" t="s">
        <v>64</v>
      </c>
      <c r="G14" s="3" t="s">
        <v>32</v>
      </c>
      <c r="H14" s="3"/>
      <c r="K14" s="16" t="s">
        <v>64</v>
      </c>
      <c r="L14" s="3" t="s">
        <v>33</v>
      </c>
      <c r="M14" s="3"/>
      <c r="P14" s="16" t="s">
        <v>64</v>
      </c>
      <c r="Q14" s="3" t="s">
        <v>34</v>
      </c>
    </row>
    <row r="15" spans="1:20" x14ac:dyDescent="0.25">
      <c r="A15" s="16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6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6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6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22571</v>
      </c>
      <c r="C16">
        <v>1</v>
      </c>
      <c r="D16">
        <f>IF(B16=0,0,(B16-$J$5)/$I$5)*C16</f>
        <v>787.14797094712435</v>
      </c>
      <c r="E16">
        <f>1.07*D16/1000</f>
        <v>0.84224832891342305</v>
      </c>
      <c r="F16" s="3" t="s">
        <v>56</v>
      </c>
      <c r="G16">
        <v>23688</v>
      </c>
      <c r="H16">
        <v>1</v>
      </c>
      <c r="I16">
        <f>IF(G16=0,0,(G16-$J$5)/$I$5)*H16</f>
        <v>827.6066947874134</v>
      </c>
      <c r="J16">
        <f>1.07*I16/1000</f>
        <v>0.88553916342253236</v>
      </c>
      <c r="K16" s="3" t="s">
        <v>56</v>
      </c>
      <c r="L16">
        <v>25749</v>
      </c>
      <c r="M16">
        <v>1</v>
      </c>
      <c r="N16">
        <f>IF(L16=0,0,(L16-$J$5)/$I$5)*M16</f>
        <v>902.25793009165307</v>
      </c>
      <c r="O16">
        <f>1.07*N16/1000</f>
        <v>0.96541598519806882</v>
      </c>
      <c r="P16" s="3" t="s">
        <v>56</v>
      </c>
      <c r="Q16">
        <v>26533</v>
      </c>
      <c r="R16">
        <v>1</v>
      </c>
      <c r="S16">
        <f>IF(Q16=0,0,(Q16-$J$5)/$I$5)*R16</f>
        <v>930.65510062951034</v>
      </c>
      <c r="T16">
        <f>1.07*S16/1000</f>
        <v>0.99580095767357613</v>
      </c>
    </row>
    <row r="17" spans="1:20" x14ac:dyDescent="0.25">
      <c r="A17" s="3" t="s">
        <v>57</v>
      </c>
      <c r="B17">
        <v>1839</v>
      </c>
      <c r="C17">
        <v>1</v>
      </c>
      <c r="D17">
        <f>IF(B17=0,0,(B17-$J$6)/$I$6)*C17</f>
        <v>42.149196034281395</v>
      </c>
      <c r="E17">
        <f>1.51*D17/1000</f>
        <v>6.3645286011764904E-2</v>
      </c>
      <c r="F17" s="3" t="s">
        <v>57</v>
      </c>
      <c r="G17">
        <v>1636</v>
      </c>
      <c r="H17">
        <v>1</v>
      </c>
      <c r="I17">
        <f>IF(G17=0,0,(G17-$J$6)/$I$6)*H17</f>
        <v>37.983688110637765</v>
      </c>
      <c r="J17">
        <f>1.51*I17/1000</f>
        <v>5.7355369047063023E-2</v>
      </c>
      <c r="K17" s="3" t="s">
        <v>57</v>
      </c>
      <c r="L17">
        <v>1464</v>
      </c>
      <c r="M17">
        <v>1</v>
      </c>
      <c r="N17">
        <f>IF(L17=0,0,(L17-$J$6)/$I$6)*M17</f>
        <v>34.454292234447102</v>
      </c>
      <c r="O17">
        <f>1.51*N17/1000</f>
        <v>5.2025981274015122E-2</v>
      </c>
      <c r="P17" s="3" t="s">
        <v>57</v>
      </c>
      <c r="Q17">
        <v>1445</v>
      </c>
      <c r="R17">
        <v>1</v>
      </c>
      <c r="S17">
        <f>IF(Q17=0,0,(Q17-$J$6)/$I$6)*R17</f>
        <v>34.064417108588827</v>
      </c>
      <c r="T17">
        <f>1.51*S17/1000</f>
        <v>5.1437269833969131E-2</v>
      </c>
    </row>
    <row r="18" spans="1:20" x14ac:dyDescent="0.25">
      <c r="A18" s="3" t="s">
        <v>58</v>
      </c>
      <c r="B18">
        <v>1119</v>
      </c>
      <c r="C18">
        <v>1</v>
      </c>
      <c r="D18">
        <f>IF(B18=0,0,(B18-$J$7)/$I$7)*C18</f>
        <v>26.230208504517684</v>
      </c>
      <c r="E18">
        <f>1.82*D18/1000</f>
        <v>4.7738979478222185E-2</v>
      </c>
      <c r="F18" s="3" t="s">
        <v>58</v>
      </c>
      <c r="G18">
        <v>867</v>
      </c>
      <c r="H18">
        <v>1</v>
      </c>
      <c r="I18">
        <f>IF(G18=0,0,(G18-$J$7)/$I$7)*H18</f>
        <v>22.13798941873269</v>
      </c>
      <c r="J18">
        <f>1.82*I18/1000</f>
        <v>4.0291140742093494E-2</v>
      </c>
      <c r="K18" s="3" t="s">
        <v>58</v>
      </c>
      <c r="L18">
        <v>759</v>
      </c>
      <c r="M18">
        <v>1</v>
      </c>
      <c r="N18">
        <f>IF(L18=0,0,(L18-$J$7)/$I$7)*M18</f>
        <v>20.38418123911055</v>
      </c>
      <c r="O18">
        <f>1.82*N18/1000</f>
        <v>3.7099209855181198E-2</v>
      </c>
      <c r="P18" s="3" t="s">
        <v>58</v>
      </c>
      <c r="Q18">
        <v>1041</v>
      </c>
      <c r="R18">
        <v>1</v>
      </c>
      <c r="S18">
        <f>IF(Q18=0,0,(Q18-$J$7)/$I$7)*R18</f>
        <v>24.963569263679471</v>
      </c>
      <c r="T18">
        <f>1.82*S18/1000</f>
        <v>4.5433696059896639E-2</v>
      </c>
    </row>
    <row r="19" spans="1:20" x14ac:dyDescent="0.25">
      <c r="A19" s="3" t="s">
        <v>59</v>
      </c>
      <c r="B19">
        <v>1679</v>
      </c>
      <c r="C19">
        <v>1</v>
      </c>
      <c r="D19">
        <f>IF(B19=0,0,(B19-$J$8)/$I$8)*C19</f>
        <v>34.076447580954877</v>
      </c>
      <c r="E19">
        <f>1.82*D19/1000</f>
        <v>6.2019134597337884E-2</v>
      </c>
      <c r="F19" s="3" t="s">
        <v>59</v>
      </c>
      <c r="G19">
        <v>911</v>
      </c>
      <c r="H19">
        <v>1</v>
      </c>
      <c r="I19">
        <f>IF(G19=0,0,(G19-$J$8)/$I$8)*H19</f>
        <v>21.976165121535239</v>
      </c>
      <c r="J19">
        <f>1.82*I19/1000</f>
        <v>3.999662052119414E-2</v>
      </c>
      <c r="K19" s="3" t="s">
        <v>59</v>
      </c>
      <c r="L19">
        <v>697</v>
      </c>
      <c r="M19">
        <v>1</v>
      </c>
      <c r="N19">
        <f>IF(L19=0,0,(L19-$J$8)/$I$8)*M19</f>
        <v>18.604471832061538</v>
      </c>
      <c r="O19">
        <f>1.82*N19/1000</f>
        <v>3.3860138734352001E-2</v>
      </c>
      <c r="P19" s="3" t="s">
        <v>59</v>
      </c>
      <c r="Q19">
        <v>634</v>
      </c>
      <c r="R19">
        <v>1</v>
      </c>
      <c r="S19">
        <f>IF(Q19=0,0,(Q19-$J$8)/$I$8)*R19</f>
        <v>17.611870536562272</v>
      </c>
      <c r="T19">
        <f>1.82*S19/1000</f>
        <v>3.2053604376543331E-2</v>
      </c>
    </row>
    <row r="20" spans="1:20" x14ac:dyDescent="0.25">
      <c r="A20" s="3" t="s">
        <v>60</v>
      </c>
      <c r="B20">
        <v>1635</v>
      </c>
      <c r="C20">
        <v>1</v>
      </c>
      <c r="D20">
        <f>IF(B20=0,0,(B20-$J$9)/$I$9)*C20</f>
        <v>31.941469773073774</v>
      </c>
      <c r="E20">
        <f>2.04*D20/1000</f>
        <v>6.5160598337070497E-2</v>
      </c>
      <c r="F20" s="3" t="s">
        <v>60</v>
      </c>
      <c r="G20">
        <v>849</v>
      </c>
      <c r="H20">
        <v>1</v>
      </c>
      <c r="I20">
        <f>IF(G20=0,0,(G20-$J$9)/$I$9)*H20</f>
        <v>20.64836091480397</v>
      </c>
      <c r="J20">
        <f>2.04*I20/1000</f>
        <v>4.2122656266200098E-2</v>
      </c>
      <c r="K20" s="3" t="s">
        <v>60</v>
      </c>
      <c r="L20">
        <v>528</v>
      </c>
      <c r="M20">
        <v>1</v>
      </c>
      <c r="N20">
        <f>IF(L20=0,0,(L20-$J$9)/$I$9)*M20</f>
        <v>16.036289739861722</v>
      </c>
      <c r="O20">
        <f>2.04*N20/1000</f>
        <v>3.271403106931791E-2</v>
      </c>
      <c r="P20" s="3" t="s">
        <v>60</v>
      </c>
      <c r="Q20">
        <v>408</v>
      </c>
      <c r="R20">
        <v>1</v>
      </c>
      <c r="S20">
        <f>IF(Q20=0,0,(Q20-$J$9)/$I$9)*R20</f>
        <v>14.312150982873964</v>
      </c>
      <c r="T20">
        <f>2.04*S20/1000</f>
        <v>2.9196788005062889E-2</v>
      </c>
    </row>
    <row r="21" spans="1:20" x14ac:dyDescent="0.25">
      <c r="A21" s="3" t="s">
        <v>61</v>
      </c>
      <c r="B21">
        <v>1786</v>
      </c>
      <c r="C21">
        <v>1</v>
      </c>
      <c r="D21">
        <f>IF(B21=0,0,(B21-$J$10)/$I$10)*C21</f>
        <v>33.479375252828355</v>
      </c>
      <c r="E21">
        <f>2.04*D21/1000</f>
        <v>6.8297925515769853E-2</v>
      </c>
      <c r="F21" s="3" t="s">
        <v>61</v>
      </c>
      <c r="G21">
        <v>758</v>
      </c>
      <c r="H21">
        <v>1</v>
      </c>
      <c r="I21">
        <f>IF(G21=0,0,(G21-$J$10)/$I$10)*H21</f>
        <v>19.070017617108501</v>
      </c>
      <c r="J21">
        <f>2.04*I21/1000</f>
        <v>3.8902835938901342E-2</v>
      </c>
      <c r="K21" s="3" t="s">
        <v>61</v>
      </c>
      <c r="L21">
        <v>396</v>
      </c>
      <c r="M21">
        <v>1</v>
      </c>
      <c r="N21">
        <f>IF(L21=0,0,(L21-$J$10)/$I$10)*M21</f>
        <v>13.995905297915321</v>
      </c>
      <c r="O21">
        <f>2.04*N21/1000</f>
        <v>2.8551646807747258E-2</v>
      </c>
      <c r="P21" s="3" t="s">
        <v>61</v>
      </c>
      <c r="Q21">
        <v>241</v>
      </c>
      <c r="R21">
        <v>1</v>
      </c>
      <c r="S21">
        <f>IF(Q21=0,0,(Q21-$J$10)/$I$10)*R21</f>
        <v>11.823288144669624</v>
      </c>
      <c r="T21">
        <f>2.04*S21/1000</f>
        <v>2.4119507815126031E-2</v>
      </c>
    </row>
    <row r="22" spans="1:20" x14ac:dyDescent="0.25">
      <c r="A22" s="3" t="s">
        <v>62</v>
      </c>
      <c r="B22">
        <v>4234</v>
      </c>
      <c r="C22">
        <v>1</v>
      </c>
      <c r="D22">
        <f>IF(B22=0,0,(B22-$J$11)/$I$11)*1</f>
        <v>28.86624623893049</v>
      </c>
      <c r="E22">
        <f>2.21*D22/1000</f>
        <v>6.3794404188036377E-2</v>
      </c>
      <c r="F22" s="3" t="s">
        <v>62</v>
      </c>
      <c r="G22">
        <v>2926</v>
      </c>
      <c r="H22">
        <v>1</v>
      </c>
      <c r="I22">
        <f>IF(G22=0,0,(G22-$J$11)/$I$11)*1</f>
        <v>11.190304903203179</v>
      </c>
      <c r="J22">
        <f>2.21*I22/1000</f>
        <v>2.4730573836079024E-2</v>
      </c>
      <c r="K22" s="3" t="s">
        <v>62</v>
      </c>
      <c r="L22">
        <v>2226</v>
      </c>
      <c r="M22">
        <v>1</v>
      </c>
      <c r="N22">
        <f>IF(L22=0,0,(L22-$J$11)/$I$11)*1</f>
        <v>1.7307032709332111</v>
      </c>
      <c r="O22">
        <f>2.21*N22/1000</f>
        <v>3.8248542287623965E-3</v>
      </c>
      <c r="P22" s="3" t="s">
        <v>62</v>
      </c>
      <c r="Q22">
        <v>1372</v>
      </c>
      <c r="R22">
        <v>1</v>
      </c>
      <c r="S22">
        <f>IF(Q22=0,0,(Q22-$J$11)/$I$11)*1</f>
        <v>-9.81001072043615</v>
      </c>
      <c r="T22">
        <f>2.21*S22/1000</f>
        <v>-2.1680123692163891E-2</v>
      </c>
    </row>
    <row r="23" spans="1:20" x14ac:dyDescent="0.25">
      <c r="A23" s="3" t="s">
        <v>63</v>
      </c>
      <c r="B23">
        <v>2928</v>
      </c>
      <c r="C23">
        <v>1</v>
      </c>
      <c r="D23">
        <f>IF(B23=0,0,(B23-$J$12)/$I$12)*1</f>
        <v>43.868919542760715</v>
      </c>
      <c r="E23">
        <f>2.34*D23/1000</f>
        <v>0.10265327173006007</v>
      </c>
      <c r="F23" s="3" t="s">
        <v>63</v>
      </c>
      <c r="G23">
        <v>1490</v>
      </c>
      <c r="H23">
        <v>1</v>
      </c>
      <c r="I23">
        <f>IF(G23=0,0,(G23-$J$12)/$I$12)*1</f>
        <v>25.177338152816798</v>
      </c>
      <c r="J23">
        <f>2.34*I23/1000</f>
        <v>5.8914971277591308E-2</v>
      </c>
      <c r="K23" s="3" t="s">
        <v>63</v>
      </c>
      <c r="L23">
        <v>828</v>
      </c>
      <c r="M23">
        <v>1</v>
      </c>
      <c r="N23">
        <f>IF(L23=0,0,(L23-$J$12)/$I$12)*1</f>
        <v>16.572451588044288</v>
      </c>
      <c r="O23">
        <f>2.34*N23/1000</f>
        <v>3.8779536716023626E-2</v>
      </c>
      <c r="P23" s="3" t="s">
        <v>63</v>
      </c>
      <c r="Q23">
        <v>755</v>
      </c>
      <c r="R23">
        <v>1</v>
      </c>
      <c r="S23">
        <f>IF(Q23=0,0,(Q23-$J$12)/$I$12)*1</f>
        <v>15.623574368666052</v>
      </c>
      <c r="T23">
        <f>2.34*S23/1000</f>
        <v>3.6559164022678559E-2</v>
      </c>
    </row>
    <row r="24" spans="1:20" x14ac:dyDescent="0.25">
      <c r="B24" s="3" t="s">
        <v>69</v>
      </c>
      <c r="C24" s="3"/>
      <c r="D24" s="3">
        <f>SUM(D16:D23)</f>
        <v>1027.7598338744717</v>
      </c>
      <c r="E24" s="3">
        <f>SUM(E16:E23)</f>
        <v>1.3155579287716848</v>
      </c>
      <c r="G24" s="3" t="s">
        <v>69</v>
      </c>
      <c r="H24" s="3"/>
      <c r="I24" s="3">
        <f>SUM(I16:I23)</f>
        <v>985.79055902625157</v>
      </c>
      <c r="J24" s="3">
        <f>SUM(J16:J23)</f>
        <v>1.187853331051655</v>
      </c>
      <c r="L24" s="3" t="s">
        <v>69</v>
      </c>
      <c r="M24" s="3"/>
      <c r="N24" s="3">
        <f>SUM(N16:N23)</f>
        <v>1024.0362252940267</v>
      </c>
      <c r="O24" s="3">
        <f>SUM(O16:O23)</f>
        <v>1.1922713838834684</v>
      </c>
      <c r="Q24" s="3" t="s">
        <v>69</v>
      </c>
      <c r="R24" s="3"/>
      <c r="S24" s="3">
        <f>SUM(S16:S23)</f>
        <v>1039.2439603141145</v>
      </c>
      <c r="T24" s="3">
        <f>SUM(T16:T23)</f>
        <v>1.1929208640946889</v>
      </c>
    </row>
    <row r="26" spans="1:20" x14ac:dyDescent="0.25">
      <c r="A26" s="16" t="s">
        <v>64</v>
      </c>
      <c r="B26" s="3" t="s">
        <v>35</v>
      </c>
      <c r="C26" s="3"/>
      <c r="F26" s="16" t="s">
        <v>64</v>
      </c>
      <c r="G26" s="3" t="s">
        <v>36</v>
      </c>
      <c r="H26" s="3"/>
      <c r="K26" s="16" t="s">
        <v>64</v>
      </c>
      <c r="L26" s="3" t="s">
        <v>37</v>
      </c>
      <c r="M26" s="3"/>
      <c r="P26" s="16" t="s">
        <v>64</v>
      </c>
      <c r="Q26" s="3" t="s">
        <v>38</v>
      </c>
      <c r="R26" s="3"/>
    </row>
    <row r="27" spans="1:20" x14ac:dyDescent="0.25">
      <c r="A27" s="16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6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6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6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24310</v>
      </c>
      <c r="C28">
        <v>1</v>
      </c>
      <c r="D28">
        <f>IF(B28=0,0,(B28-$J$5)/$I$5)*C28</f>
        <v>850.13608263760113</v>
      </c>
      <c r="E28">
        <f>1.07*D28/1000</f>
        <v>0.9096456084222333</v>
      </c>
      <c r="F28" s="3" t="s">
        <v>56</v>
      </c>
      <c r="G28">
        <v>25363</v>
      </c>
      <c r="H28">
        <v>1</v>
      </c>
      <c r="I28">
        <f>IF(G28=0,0,(G28-$J$5)/$I$5)*H28</f>
        <v>888.2766701074529</v>
      </c>
      <c r="J28">
        <f>1.07*I28/1000</f>
        <v>0.95045603701497461</v>
      </c>
      <c r="K28" s="3" t="s">
        <v>56</v>
      </c>
      <c r="L28">
        <v>24769</v>
      </c>
      <c r="M28">
        <v>1</v>
      </c>
      <c r="N28">
        <f>IF(L28=0,0,(L28-$J$5)/$I$5)*M28</f>
        <v>866.76146691933138</v>
      </c>
      <c r="O28">
        <f>1.07*N28/1000</f>
        <v>0.92743476960368465</v>
      </c>
      <c r="P28" s="3" t="s">
        <v>56</v>
      </c>
      <c r="Q28">
        <v>22394</v>
      </c>
      <c r="R28">
        <v>1</v>
      </c>
      <c r="S28">
        <f>IF(Q28=0,0,(Q28-$J$5)/$I$5)*R28</f>
        <v>780.73687504763359</v>
      </c>
      <c r="T28">
        <f>1.07*S28/1000</f>
        <v>0.83538845630096792</v>
      </c>
    </row>
    <row r="29" spans="1:20" x14ac:dyDescent="0.25">
      <c r="A29" s="3" t="s">
        <v>57</v>
      </c>
      <c r="B29">
        <v>1231</v>
      </c>
      <c r="C29">
        <v>1</v>
      </c>
      <c r="D29">
        <f>IF(B29=0,0,(B29-$J$6)/$I$6)*C29</f>
        <v>29.673192006816723</v>
      </c>
      <c r="E29">
        <f>1.51*D29/1000</f>
        <v>4.4806519930293255E-2</v>
      </c>
      <c r="F29" s="3" t="s">
        <v>57</v>
      </c>
      <c r="G29">
        <v>1273</v>
      </c>
      <c r="H29">
        <v>1</v>
      </c>
      <c r="I29">
        <f>IF(G29=0,0,(G29-$J$6)/$I$6)*H29</f>
        <v>30.535021232398165</v>
      </c>
      <c r="J29">
        <f>1.51*I29/1000</f>
        <v>4.6107882060921229E-2</v>
      </c>
      <c r="K29" s="3" t="s">
        <v>57</v>
      </c>
      <c r="L29">
        <v>1232</v>
      </c>
      <c r="M29">
        <v>1</v>
      </c>
      <c r="N29">
        <f>IF(L29=0,0,(L29-$J$6)/$I$6)*M29</f>
        <v>29.693711750282947</v>
      </c>
      <c r="O29">
        <f>1.51*N29/1000</f>
        <v>4.4837504742927255E-2</v>
      </c>
      <c r="P29" s="3" t="s">
        <v>57</v>
      </c>
      <c r="Q29">
        <v>832</v>
      </c>
      <c r="R29">
        <v>1</v>
      </c>
      <c r="S29">
        <f>IF(Q29=0,0,(Q29-$J$6)/$I$6)*R29</f>
        <v>21.485814363793036</v>
      </c>
      <c r="T29">
        <f>1.51*S29/1000</f>
        <v>3.2443579689327484E-2</v>
      </c>
    </row>
    <row r="30" spans="1:20" x14ac:dyDescent="0.25">
      <c r="A30" s="3" t="s">
        <v>58</v>
      </c>
      <c r="B30">
        <v>301</v>
      </c>
      <c r="C30">
        <v>1</v>
      </c>
      <c r="D30">
        <f>IF(B30=0,0,(B30-$J$7)/$I$7)*C30</f>
        <v>12.946735440342579</v>
      </c>
      <c r="E30">
        <f>1.82*D30/1000</f>
        <v>2.3563058501423494E-2</v>
      </c>
      <c r="F30" s="3" t="s">
        <v>58</v>
      </c>
      <c r="G30">
        <v>402</v>
      </c>
      <c r="H30">
        <v>1</v>
      </c>
      <c r="I30">
        <f>IF(G30=0,0,(G30-$J$7)/$I$7)*H30</f>
        <v>14.586870867581803</v>
      </c>
      <c r="J30">
        <f>1.82*I30/1000</f>
        <v>2.6548104978998881E-2</v>
      </c>
      <c r="K30" s="3" t="s">
        <v>58</v>
      </c>
      <c r="L30">
        <v>451</v>
      </c>
      <c r="M30">
        <v>1</v>
      </c>
      <c r="N30">
        <f>IF(L30=0,0,(L30-$J$7)/$I$7)*M30</f>
        <v>15.38258013426222</v>
      </c>
      <c r="O30">
        <f>1.82*N30/1000</f>
        <v>2.7996295844357241E-2</v>
      </c>
      <c r="P30" s="3" t="s">
        <v>58</v>
      </c>
      <c r="Q30">
        <v>507</v>
      </c>
      <c r="R30">
        <v>1</v>
      </c>
      <c r="S30">
        <f>IF(Q30=0,0,(Q30-$J$7)/$I$7)*R30</f>
        <v>16.291962153325553</v>
      </c>
      <c r="T30">
        <f>1.82*S30/1000</f>
        <v>2.9651371119052507E-2</v>
      </c>
    </row>
    <row r="31" spans="1:20" x14ac:dyDescent="0.25">
      <c r="A31" s="3" t="s">
        <v>59</v>
      </c>
      <c r="B31">
        <v>491</v>
      </c>
      <c r="C31">
        <v>1</v>
      </c>
      <c r="D31">
        <f>IF(B31=0,0,(B31-$J$8)/$I$8)*C31</f>
        <v>15.358823151540127</v>
      </c>
      <c r="E31">
        <f>1.82*D31/1000</f>
        <v>2.7953058135803035E-2</v>
      </c>
      <c r="F31" s="3" t="s">
        <v>59</v>
      </c>
      <c r="G31">
        <v>453</v>
      </c>
      <c r="H31">
        <v>1</v>
      </c>
      <c r="I31">
        <f>IF(G31=0,0,(G31-$J$8)/$I$8)*H31</f>
        <v>14.76011125901676</v>
      </c>
      <c r="J31">
        <f>1.82*I31/1000</f>
        <v>2.6863402491410504E-2</v>
      </c>
      <c r="K31" s="3" t="s">
        <v>59</v>
      </c>
      <c r="L31">
        <v>541</v>
      </c>
      <c r="M31">
        <v>1</v>
      </c>
      <c r="N31">
        <f>IF(L31=0,0,(L31-$J$8)/$I$8)*M31</f>
        <v>16.146601957491928</v>
      </c>
      <c r="O31">
        <f>1.82*N31/1000</f>
        <v>2.938681556263531E-2</v>
      </c>
      <c r="P31" s="3" t="s">
        <v>59</v>
      </c>
      <c r="Q31">
        <v>580</v>
      </c>
      <c r="R31">
        <v>1</v>
      </c>
      <c r="S31">
        <f>IF(Q31=0,0,(Q31-$J$8)/$I$8)*R31</f>
        <v>16.76106942613433</v>
      </c>
      <c r="T31">
        <f>1.82*S31/1000</f>
        <v>3.0505146355564481E-2</v>
      </c>
    </row>
    <row r="32" spans="1:20" x14ac:dyDescent="0.25">
      <c r="A32" s="3" t="s">
        <v>60</v>
      </c>
      <c r="B32">
        <v>278</v>
      </c>
      <c r="C32">
        <v>1</v>
      </c>
      <c r="D32">
        <f>IF(B32=0,0,(B32-$J$9)/$I$9)*C32</f>
        <v>12.444333996137228</v>
      </c>
      <c r="E32">
        <f>2.04*D32/1000</f>
        <v>2.5386441352119947E-2</v>
      </c>
      <c r="F32" s="3" t="s">
        <v>60</v>
      </c>
      <c r="G32">
        <v>259</v>
      </c>
      <c r="H32">
        <v>1</v>
      </c>
      <c r="I32">
        <f>IF(G32=0,0,(G32-$J$9)/$I$9)*H32</f>
        <v>12.171345359614167</v>
      </c>
      <c r="J32">
        <f>2.04*I32/1000</f>
        <v>2.4829544533612899E-2</v>
      </c>
      <c r="K32" s="3" t="s">
        <v>60</v>
      </c>
      <c r="L32">
        <v>256</v>
      </c>
      <c r="M32">
        <v>1</v>
      </c>
      <c r="N32">
        <f>IF(L32=0,0,(L32-$J$9)/$I$9)*M32</f>
        <v>12.128241890689473</v>
      </c>
      <c r="O32">
        <f>2.04*N32/1000</f>
        <v>2.4741613457006525E-2</v>
      </c>
      <c r="P32" s="3" t="s">
        <v>60</v>
      </c>
      <c r="Q32">
        <v>232</v>
      </c>
      <c r="R32">
        <v>1</v>
      </c>
      <c r="S32">
        <f>IF(Q32=0,0,(Q32-$J$9)/$I$9)*R32</f>
        <v>11.783414139291921</v>
      </c>
      <c r="T32">
        <f>2.04*S32/1000</f>
        <v>2.4038164844155517E-2</v>
      </c>
    </row>
    <row r="33" spans="1:20" x14ac:dyDescent="0.25">
      <c r="A33" s="3" t="s">
        <v>61</v>
      </c>
      <c r="B33">
        <v>0</v>
      </c>
      <c r="C33">
        <v>1</v>
      </c>
      <c r="D33">
        <f>IF(B33=0,0,(B33-$J$10)/$I$10)*C33</f>
        <v>0</v>
      </c>
      <c r="E33">
        <f>2.04*D33/1000</f>
        <v>0</v>
      </c>
      <c r="F33" s="3" t="s">
        <v>61</v>
      </c>
      <c r="G33">
        <v>0</v>
      </c>
      <c r="H33">
        <v>1</v>
      </c>
      <c r="I33">
        <f>IF(G33=0,0,(G33-$J$10)/$I$10)*H33</f>
        <v>0</v>
      </c>
      <c r="J33">
        <f>2.04*I33/1000</f>
        <v>0</v>
      </c>
      <c r="K33" s="3" t="s">
        <v>61</v>
      </c>
      <c r="L33">
        <v>0</v>
      </c>
      <c r="M33">
        <v>1</v>
      </c>
      <c r="N33">
        <f>IF(L33=0,0,(L33-$J$10)/$I$10)*M33</f>
        <v>0</v>
      </c>
      <c r="O33">
        <f>2.04*N33/1000</f>
        <v>0</v>
      </c>
      <c r="P33" s="3" t="s">
        <v>61</v>
      </c>
      <c r="Q33">
        <v>0</v>
      </c>
      <c r="R33">
        <v>1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62</v>
      </c>
      <c r="B34">
        <v>1219</v>
      </c>
      <c r="C34">
        <v>1</v>
      </c>
      <c r="D34">
        <f>IF(B34=0,0,(B34-$J$11)/$I$11)*1</f>
        <v>-11.877609362918014</v>
      </c>
      <c r="E34">
        <f>2.21*D34/1000</f>
        <v>-2.6249516692048811E-2</v>
      </c>
      <c r="F34" s="3" t="s">
        <v>62</v>
      </c>
      <c r="G34">
        <v>1207</v>
      </c>
      <c r="H34">
        <v>1</v>
      </c>
      <c r="I34">
        <f>IF(G34=0,0,(G34-$J$11)/$I$11)*1</f>
        <v>-12.039773962328356</v>
      </c>
      <c r="J34">
        <f>2.21*I34/1000</f>
        <v>-2.6607900456745669E-2</v>
      </c>
      <c r="K34" s="3" t="s">
        <v>62</v>
      </c>
      <c r="L34">
        <v>1728</v>
      </c>
      <c r="M34">
        <v>1</v>
      </c>
      <c r="N34">
        <f>IF(L34=0,0,(L34-$J$11)/$I$11)*1</f>
        <v>-4.9991276045959943</v>
      </c>
      <c r="O34">
        <f>2.21*N34/1000</f>
        <v>-1.1048072006157147E-2</v>
      </c>
      <c r="P34" s="3" t="s">
        <v>62</v>
      </c>
      <c r="Q34">
        <v>2286</v>
      </c>
      <c r="R34">
        <v>1</v>
      </c>
      <c r="S34">
        <f>IF(Q34=0,0,(Q34-$J$11)/$I$11)*1</f>
        <v>2.5415262679849229</v>
      </c>
      <c r="T34">
        <f>2.21*S34/1000</f>
        <v>5.6167730522466795E-3</v>
      </c>
    </row>
    <row r="35" spans="1:20" x14ac:dyDescent="0.25">
      <c r="A35" s="3" t="s">
        <v>63</v>
      </c>
      <c r="B35">
        <v>326</v>
      </c>
      <c r="C35">
        <v>1</v>
      </c>
      <c r="D35">
        <f>IF(B35=0,0,(B35-$J$12)/$I$12)*1</f>
        <v>10.047295915059696</v>
      </c>
      <c r="E35">
        <f>2.34*D35/1000</f>
        <v>2.3510672441239687E-2</v>
      </c>
      <c r="F35" s="3" t="s">
        <v>63</v>
      </c>
      <c r="G35">
        <v>231</v>
      </c>
      <c r="H35">
        <v>1</v>
      </c>
      <c r="I35">
        <f>IF(G35=0,0,(G35-$J$12)/$I$12)*1</f>
        <v>8.8124556980606208</v>
      </c>
      <c r="J35">
        <f>2.34*I35/1000</f>
        <v>2.0621146333461852E-2</v>
      </c>
      <c r="K35" s="3" t="s">
        <v>63</v>
      </c>
      <c r="L35">
        <v>0</v>
      </c>
      <c r="M35">
        <v>1</v>
      </c>
      <c r="N35">
        <f>IF(L35=0,0,(L35-$J$12)/$I$12)*1</f>
        <v>0</v>
      </c>
      <c r="O35">
        <f>2.34*N35/1000</f>
        <v>0</v>
      </c>
      <c r="P35" s="3" t="s">
        <v>63</v>
      </c>
      <c r="Q35">
        <v>0</v>
      </c>
      <c r="R35">
        <v>1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69</v>
      </c>
      <c r="C36" s="3"/>
      <c r="D36" s="3">
        <f>SUM(D28:D35)</f>
        <v>918.72885378457943</v>
      </c>
      <c r="E36" s="3">
        <f>SUM(E28:E35)</f>
        <v>1.0286158420910638</v>
      </c>
      <c r="G36" s="3" t="s">
        <v>69</v>
      </c>
      <c r="H36" s="3"/>
      <c r="I36" s="3">
        <f>SUM(I28:I35)</f>
        <v>957.10270056179604</v>
      </c>
      <c r="J36" s="3">
        <f>SUM(J28:J35)</f>
        <v>1.0688182169566343</v>
      </c>
      <c r="L36" s="3" t="s">
        <v>69</v>
      </c>
      <c r="M36" s="3"/>
      <c r="N36" s="3">
        <f>SUM(N28:N35)</f>
        <v>935.11347504746198</v>
      </c>
      <c r="O36" s="3">
        <f>SUM(O28:O35)</f>
        <v>1.0433489272044536</v>
      </c>
      <c r="Q36" s="3" t="s">
        <v>69</v>
      </c>
      <c r="R36" s="3"/>
      <c r="S36" s="3">
        <f>SUM(S28:S35)</f>
        <v>849.60066139816342</v>
      </c>
      <c r="T36" s="3">
        <f>SUM(T28:T35)</f>
        <v>0.95764349136131455</v>
      </c>
    </row>
    <row r="38" spans="1:20" x14ac:dyDescent="0.25">
      <c r="A38" s="16" t="s">
        <v>64</v>
      </c>
      <c r="B38" s="3" t="s">
        <v>39</v>
      </c>
      <c r="C38" s="3"/>
      <c r="F38" s="16" t="s">
        <v>64</v>
      </c>
      <c r="G38" s="3" t="s">
        <v>40</v>
      </c>
      <c r="H38" s="3"/>
      <c r="K38" s="16" t="s">
        <v>64</v>
      </c>
      <c r="L38" s="3" t="s">
        <v>41</v>
      </c>
      <c r="M38" s="3"/>
      <c r="P38" s="16" t="s">
        <v>64</v>
      </c>
      <c r="Q38" s="3" t="s">
        <v>42</v>
      </c>
      <c r="R38" s="3"/>
    </row>
    <row r="39" spans="1:20" x14ac:dyDescent="0.25">
      <c r="A39" s="16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6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6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6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16631</v>
      </c>
      <c r="C40">
        <v>1</v>
      </c>
      <c r="D40">
        <f>IF(B40=0,0,(B40-$J$5)/$I$5)*C40</f>
        <v>571.9959390659094</v>
      </c>
      <c r="E40">
        <f>1.07*D40/1000</f>
        <v>0.61203565480052302</v>
      </c>
      <c r="F40" s="3" t="s">
        <v>56</v>
      </c>
      <c r="G40">
        <v>19877</v>
      </c>
      <c r="H40">
        <v>1</v>
      </c>
      <c r="I40">
        <f>IF(G40=0,0,(G40-$J$5)/$I$5)*H40</f>
        <v>689.56891810402783</v>
      </c>
      <c r="J40">
        <f>1.07*I40/1000</f>
        <v>0.73783874237130986</v>
      </c>
      <c r="K40" s="3" t="s">
        <v>56</v>
      </c>
      <c r="L40">
        <v>19739</v>
      </c>
      <c r="M40">
        <v>1</v>
      </c>
      <c r="N40">
        <f>IF(L40=0,0,(L40-$J$5)/$I$5)*M40</f>
        <v>684.57043655527229</v>
      </c>
      <c r="O40">
        <f>1.07*N40/1000</f>
        <v>0.73249036711414139</v>
      </c>
      <c r="P40" s="3" t="s">
        <v>56</v>
      </c>
      <c r="Q40">
        <v>17657</v>
      </c>
      <c r="R40">
        <v>1</v>
      </c>
      <c r="S40">
        <f>IF(Q40=0,0,(Q40-$J$5)/$I$5)*R40</f>
        <v>609.15856275448289</v>
      </c>
      <c r="T40">
        <f>1.07*S40/1000</f>
        <v>0.65179966214729679</v>
      </c>
    </row>
    <row r="41" spans="1:20" x14ac:dyDescent="0.25">
      <c r="A41" s="3" t="s">
        <v>57</v>
      </c>
      <c r="B41">
        <v>645</v>
      </c>
      <c r="C41">
        <v>1</v>
      </c>
      <c r="D41">
        <f>IF(B41=0,0,(B41-$J$6)/$I$6)*C41</f>
        <v>17.648622335609002</v>
      </c>
      <c r="E41">
        <f>1.51*D41/1000</f>
        <v>2.6649419726769593E-2</v>
      </c>
      <c r="F41" s="3" t="s">
        <v>57</v>
      </c>
      <c r="G41">
        <v>697</v>
      </c>
      <c r="H41">
        <v>1</v>
      </c>
      <c r="I41">
        <f>IF(G41=0,0,(G41-$J$6)/$I$6)*H41</f>
        <v>18.715648995852689</v>
      </c>
      <c r="J41">
        <f>1.51*I41/1000</f>
        <v>2.8260629983737563E-2</v>
      </c>
      <c r="K41" s="3" t="s">
        <v>57</v>
      </c>
      <c r="L41">
        <v>677</v>
      </c>
      <c r="M41">
        <v>1</v>
      </c>
      <c r="N41">
        <f>IF(L41=0,0,(L41-$J$6)/$I$6)*M41</f>
        <v>18.305254126528194</v>
      </c>
      <c r="O41">
        <f>1.51*N41/1000</f>
        <v>2.7640933731057572E-2</v>
      </c>
      <c r="P41" s="3" t="s">
        <v>57</v>
      </c>
      <c r="Q41">
        <v>679</v>
      </c>
      <c r="R41">
        <v>1</v>
      </c>
      <c r="S41">
        <f>IF(Q41=0,0,(Q41-$J$6)/$I$6)*R41</f>
        <v>18.346293613460642</v>
      </c>
      <c r="T41">
        <f>1.51*S41/1000</f>
        <v>2.7702903356325567E-2</v>
      </c>
    </row>
    <row r="42" spans="1:20" x14ac:dyDescent="0.25">
      <c r="A42" s="3" t="s">
        <v>58</v>
      </c>
      <c r="B42">
        <v>281</v>
      </c>
      <c r="C42">
        <v>1</v>
      </c>
      <c r="D42">
        <f>IF(B42=0,0,(B42-$J$7)/$I$7)*C42</f>
        <v>12.62195614781996</v>
      </c>
      <c r="E42">
        <f>1.82*D42/1000</f>
        <v>2.2971960189032328E-2</v>
      </c>
      <c r="F42" s="3" t="s">
        <v>58</v>
      </c>
      <c r="G42">
        <v>242</v>
      </c>
      <c r="H42">
        <v>1</v>
      </c>
      <c r="I42">
        <f>IF(G42=0,0,(G42-$J$7)/$I$7)*H42</f>
        <v>11.988636527400853</v>
      </c>
      <c r="J42">
        <f>1.82*I42/1000</f>
        <v>2.1819318479869555E-2</v>
      </c>
      <c r="K42" s="3" t="s">
        <v>58</v>
      </c>
      <c r="L42">
        <v>0</v>
      </c>
      <c r="M42">
        <v>1</v>
      </c>
      <c r="N42">
        <f>IF(L42=0,0,(L42-$J$7)/$I$7)*M42</f>
        <v>0</v>
      </c>
      <c r="O42">
        <f>1.82*N42/1000</f>
        <v>0</v>
      </c>
      <c r="P42" s="3" t="s">
        <v>58</v>
      </c>
      <c r="Q42">
        <v>257</v>
      </c>
      <c r="R42">
        <v>1</v>
      </c>
      <c r="S42">
        <f>IF(Q42=0,0,(Q42-$J$7)/$I$7)*R42</f>
        <v>12.232220996792817</v>
      </c>
      <c r="T42">
        <f>1.82*S42/1000</f>
        <v>2.2262642214162926E-2</v>
      </c>
    </row>
    <row r="43" spans="1:20" x14ac:dyDescent="0.25">
      <c r="A43" s="3" t="s">
        <v>59</v>
      </c>
      <c r="B43">
        <v>586</v>
      </c>
      <c r="C43">
        <v>1</v>
      </c>
      <c r="D43">
        <f>IF(B43=0,0,(B43-$J$8)/$I$8)*C43</f>
        <v>16.855602882848544</v>
      </c>
      <c r="E43">
        <f>1.82*D43/1000</f>
        <v>3.067719724678435E-2</v>
      </c>
      <c r="F43" s="3" t="s">
        <v>59</v>
      </c>
      <c r="G43">
        <v>616</v>
      </c>
      <c r="H43">
        <v>1</v>
      </c>
      <c r="I43">
        <f>IF(G43=0,0,(G43-$J$8)/$I$8)*H43</f>
        <v>17.328270166419625</v>
      </c>
      <c r="J43">
        <f>1.82*I43/1000</f>
        <v>3.1537451702883718E-2</v>
      </c>
      <c r="K43" s="3" t="s">
        <v>59</v>
      </c>
      <c r="L43">
        <v>579</v>
      </c>
      <c r="M43">
        <v>1</v>
      </c>
      <c r="N43">
        <f>IF(L43=0,0,(L43-$J$8)/$I$8)*M43</f>
        <v>16.745313850015293</v>
      </c>
      <c r="O43">
        <f>1.82*N43/1000</f>
        <v>3.0476471207027834E-2</v>
      </c>
      <c r="P43" s="3" t="s">
        <v>59</v>
      </c>
      <c r="Q43">
        <v>605</v>
      </c>
      <c r="R43">
        <v>1</v>
      </c>
      <c r="S43">
        <f>IF(Q43=0,0,(Q43-$J$8)/$I$8)*R43</f>
        <v>17.154958829110228</v>
      </c>
      <c r="T43">
        <f>1.82*S43/1000</f>
        <v>3.1222025068980617E-2</v>
      </c>
    </row>
    <row r="44" spans="1:20" x14ac:dyDescent="0.25">
      <c r="A44" s="3" t="s">
        <v>60</v>
      </c>
      <c r="B44">
        <v>210</v>
      </c>
      <c r="C44">
        <v>1</v>
      </c>
      <c r="D44">
        <f>IF(B44=0,0,(B44-$J$9)/$I$9)*C44</f>
        <v>11.467322033844166</v>
      </c>
      <c r="E44">
        <f>2.04*D44/1000</f>
        <v>2.3393336949042099E-2</v>
      </c>
      <c r="F44" s="3" t="s">
        <v>60</v>
      </c>
      <c r="G44">
        <v>224</v>
      </c>
      <c r="H44">
        <v>1</v>
      </c>
      <c r="I44">
        <f>IF(G44=0,0,(G44-$J$9)/$I$9)*H44</f>
        <v>11.668471555492738</v>
      </c>
      <c r="J44">
        <f>2.04*I44/1000</f>
        <v>2.3803681973205187E-2</v>
      </c>
      <c r="K44" s="3" t="s">
        <v>60</v>
      </c>
      <c r="L44">
        <v>244</v>
      </c>
      <c r="M44">
        <v>1</v>
      </c>
      <c r="N44">
        <f>IF(L44=0,0,(L44-$J$9)/$I$9)*M44</f>
        <v>11.955828014990697</v>
      </c>
      <c r="O44">
        <f>2.04*N44/1000</f>
        <v>2.4389889150581025E-2</v>
      </c>
      <c r="P44" s="3" t="s">
        <v>60</v>
      </c>
      <c r="Q44">
        <v>0</v>
      </c>
      <c r="R44">
        <v>1</v>
      </c>
      <c r="S44">
        <f>IF(Q44=0,0,(Q44-$J$9)/$I$9)*R44</f>
        <v>0</v>
      </c>
      <c r="T44">
        <f>2.04*S44/1000</f>
        <v>0</v>
      </c>
    </row>
    <row r="45" spans="1:20" x14ac:dyDescent="0.25">
      <c r="A45" s="3" t="s">
        <v>61</v>
      </c>
      <c r="B45">
        <v>0</v>
      </c>
      <c r="C45">
        <v>1</v>
      </c>
      <c r="D45">
        <f>IF(B45=0,0,(B45-$J$10)/$I$10)*C45</f>
        <v>0</v>
      </c>
      <c r="E45">
        <f>2.04*D45/1000</f>
        <v>0</v>
      </c>
      <c r="F45" s="3" t="s">
        <v>61</v>
      </c>
      <c r="G45">
        <v>0</v>
      </c>
      <c r="H45">
        <v>1</v>
      </c>
      <c r="I45">
        <f>IF(G45=0,0,(G45-$J$10)/$I$10)*H45</f>
        <v>0</v>
      </c>
      <c r="J45">
        <f>2.04*I45/1000</f>
        <v>0</v>
      </c>
      <c r="K45" s="3" t="s">
        <v>61</v>
      </c>
      <c r="L45">
        <v>0</v>
      </c>
      <c r="M45">
        <v>1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1861</v>
      </c>
      <c r="C46">
        <v>1</v>
      </c>
      <c r="D46">
        <f>IF(B46=0,0,(B46-$J$11)/$I$11)*1</f>
        <v>-3.2018032944647006</v>
      </c>
      <c r="E46">
        <f>2.21*D46/1000</f>
        <v>-7.0759852807669886E-3</v>
      </c>
      <c r="F46" s="3" t="s">
        <v>62</v>
      </c>
      <c r="G46">
        <v>2765</v>
      </c>
      <c r="H46">
        <v>1</v>
      </c>
      <c r="I46">
        <f>IF(G46=0,0,(G46-$J$11)/$I$11)*1</f>
        <v>9.0145965277810856</v>
      </c>
      <c r="J46">
        <f>2.21*I46/1000</f>
        <v>1.99222583263962E-2</v>
      </c>
      <c r="K46" s="3" t="s">
        <v>62</v>
      </c>
      <c r="L46">
        <v>4182</v>
      </c>
      <c r="M46">
        <v>1</v>
      </c>
      <c r="N46">
        <f>IF(L46=0,0,(L46-$J$11)/$I$11)*1</f>
        <v>28.163532974819006</v>
      </c>
      <c r="O46">
        <f>2.21*N46/1000</f>
        <v>6.2241407874350001E-2</v>
      </c>
      <c r="P46" s="3" t="s">
        <v>62</v>
      </c>
      <c r="Q46">
        <v>5330</v>
      </c>
      <c r="R46">
        <v>1</v>
      </c>
      <c r="S46">
        <f>IF(Q46=0,0,(Q46-$J$11)/$I$11)*1</f>
        <v>43.677279651741756</v>
      </c>
      <c r="T46">
        <f>2.21*S46/1000</f>
        <v>9.6526788030349281E-2</v>
      </c>
    </row>
    <row r="47" spans="1:20" x14ac:dyDescent="0.25">
      <c r="A47" s="3" t="s">
        <v>63</v>
      </c>
      <c r="B47">
        <v>219</v>
      </c>
      <c r="C47">
        <v>1</v>
      </c>
      <c r="D47">
        <f>IF(B47=0,0,(B47-$J$12)/$I$12)*1</f>
        <v>8.6564758811765259</v>
      </c>
      <c r="E47">
        <f>2.34*D47/1000</f>
        <v>2.025615356195307E-2</v>
      </c>
      <c r="F47" s="3" t="s">
        <v>63</v>
      </c>
      <c r="G47">
        <v>263</v>
      </c>
      <c r="H47">
        <v>1</v>
      </c>
      <c r="I47">
        <f>IF(G47=0,0,(G47-$J$12)/$I$12)*1</f>
        <v>9.2284018764182036</v>
      </c>
      <c r="J47">
        <f>2.34*I47/1000</f>
        <v>2.1594460390818596E-2</v>
      </c>
      <c r="K47" s="3" t="s">
        <v>63</v>
      </c>
      <c r="L47">
        <v>0</v>
      </c>
      <c r="M47">
        <v>1</v>
      </c>
      <c r="N47">
        <f>IF(L47=0,0,(L47-$J$12)/$I$12)*1</f>
        <v>0</v>
      </c>
      <c r="O47">
        <f>2.34*N47/1000</f>
        <v>0</v>
      </c>
      <c r="P47" s="3" t="s">
        <v>63</v>
      </c>
      <c r="Q47">
        <v>0</v>
      </c>
      <c r="R47">
        <v>1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636.044115052743</v>
      </c>
      <c r="E48" s="3">
        <f>SUM(E40:E47)</f>
        <v>0.72890773719333746</v>
      </c>
      <c r="F48" s="3"/>
      <c r="G48" s="3" t="s">
        <v>69</v>
      </c>
      <c r="H48" s="3"/>
      <c r="I48" s="3">
        <f>SUM(I40:I47)</f>
        <v>767.51294375339307</v>
      </c>
      <c r="J48" s="3">
        <f>SUM(J40:J47)</f>
        <v>0.88477654322822052</v>
      </c>
      <c r="K48" s="3"/>
      <c r="L48" s="3" t="s">
        <v>69</v>
      </c>
      <c r="M48" s="3"/>
      <c r="N48" s="3">
        <f>SUM(N40:N47)</f>
        <v>759.74036552162545</v>
      </c>
      <c r="O48" s="3">
        <f>SUM(O40:O47)</f>
        <v>0.87723906907715776</v>
      </c>
      <c r="P48" s="3"/>
      <c r="Q48" s="3" t="s">
        <v>69</v>
      </c>
      <c r="R48" s="3"/>
      <c r="S48" s="3">
        <f>SUM(S40:S47)</f>
        <v>700.56931584558822</v>
      </c>
      <c r="T48" s="3">
        <f>SUM(T40:T47)</f>
        <v>0.82951402081711523</v>
      </c>
    </row>
    <row r="50" spans="1:13" x14ac:dyDescent="0.25">
      <c r="A50" s="16" t="s">
        <v>64</v>
      </c>
      <c r="B50" s="3" t="s">
        <v>43</v>
      </c>
      <c r="C50" s="3"/>
      <c r="F50" s="16" t="s">
        <v>64</v>
      </c>
      <c r="G50" s="3" t="s">
        <v>44</v>
      </c>
      <c r="H50" s="3"/>
      <c r="M50" s="3"/>
    </row>
    <row r="51" spans="1:13" x14ac:dyDescent="0.25">
      <c r="A51" s="16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6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B52">
        <v>18928</v>
      </c>
      <c r="C52">
        <v>1</v>
      </c>
      <c r="D52">
        <f>IF(B52=0,0,(B52-$J$5)/$I$5)*C52</f>
        <v>655.19530223613674</v>
      </c>
      <c r="E52">
        <f>1.07*D52/1000</f>
        <v>0.70105897339266632</v>
      </c>
      <c r="F52" s="3" t="s">
        <v>56</v>
      </c>
      <c r="G52">
        <v>20998</v>
      </c>
      <c r="H52">
        <v>1</v>
      </c>
      <c r="I52">
        <f>IF(G52=0,0,(G52-$J$5)/$I$5)*H52</f>
        <v>730.1725254674692</v>
      </c>
      <c r="J52">
        <f>1.07*I52/1000</f>
        <v>0.78128460225019203</v>
      </c>
    </row>
    <row r="53" spans="1:13" x14ac:dyDescent="0.25">
      <c r="A53" s="3" t="s">
        <v>57</v>
      </c>
      <c r="B53">
        <v>647</v>
      </c>
      <c r="C53">
        <v>1</v>
      </c>
      <c r="D53">
        <f>IF(B53=0,0,(B53-$J$6)/$I$6)*C53</f>
        <v>17.689661822541449</v>
      </c>
      <c r="E53">
        <f>1.51*D53/1000</f>
        <v>2.6711389352037589E-2</v>
      </c>
      <c r="F53" s="3" t="s">
        <v>57</v>
      </c>
      <c r="G53">
        <v>822</v>
      </c>
      <c r="H53">
        <v>1</v>
      </c>
      <c r="I53">
        <f>IF(G53=0,0,(G53-$J$6)/$I$6)*H53</f>
        <v>21.280616929130787</v>
      </c>
      <c r="J53">
        <f>1.51*I53/1000</f>
        <v>3.2133731562987482E-2</v>
      </c>
    </row>
    <row r="54" spans="1:13" x14ac:dyDescent="0.25">
      <c r="A54" s="3" t="s">
        <v>58</v>
      </c>
      <c r="B54">
        <v>0</v>
      </c>
      <c r="C54">
        <v>1</v>
      </c>
      <c r="D54">
        <f>IF(B54=0,0,(B54-$J$7)/$I$7)*C54</f>
        <v>0</v>
      </c>
      <c r="E54">
        <f>1.82*D54/1000</f>
        <v>0</v>
      </c>
      <c r="F54" s="3" t="s">
        <v>58</v>
      </c>
      <c r="G54">
        <v>226</v>
      </c>
      <c r="H54">
        <v>1</v>
      </c>
      <c r="I54">
        <f>IF(G54=0,0,(G54-$J$7)/$I$7)*H54</f>
        <v>11.728813093382758</v>
      </c>
      <c r="J54">
        <f>1.82*I54/1000</f>
        <v>2.1346439829956619E-2</v>
      </c>
    </row>
    <row r="55" spans="1:13" x14ac:dyDescent="0.25">
      <c r="A55" s="3" t="s">
        <v>59</v>
      </c>
      <c r="B55">
        <v>528</v>
      </c>
      <c r="C55">
        <v>1</v>
      </c>
      <c r="D55">
        <f>IF(B55=0,0,(B55-$J$8)/$I$8)*C55</f>
        <v>15.941779467944459</v>
      </c>
      <c r="E55">
        <f>1.82*D55/1000</f>
        <v>2.9014038631658915E-2</v>
      </c>
      <c r="F55" s="3" t="s">
        <v>59</v>
      </c>
      <c r="G55">
        <v>590</v>
      </c>
      <c r="H55">
        <v>1</v>
      </c>
      <c r="I55">
        <f>IF(G55=0,0,(G55-$J$8)/$I$8)*H55</f>
        <v>16.91862518732469</v>
      </c>
      <c r="J55">
        <f>1.82*I55/1000</f>
        <v>3.0791897840930935E-2</v>
      </c>
    </row>
    <row r="56" spans="1:13" x14ac:dyDescent="0.25">
      <c r="A56" s="3" t="s">
        <v>60</v>
      </c>
      <c r="B56">
        <v>0</v>
      </c>
      <c r="C56">
        <v>1</v>
      </c>
      <c r="D56">
        <f>IF(B56=0,0,(B56-$J$9)/$I$9)*C56</f>
        <v>0</v>
      </c>
      <c r="E56">
        <f>2.04*D56/1000</f>
        <v>0</v>
      </c>
      <c r="F56" s="3" t="s">
        <v>60</v>
      </c>
      <c r="G56">
        <v>205</v>
      </c>
      <c r="H56">
        <v>1</v>
      </c>
      <c r="I56">
        <f>IF(G56=0,0,(G56-$J$9)/$I$9)*H56</f>
        <v>11.395482918969677</v>
      </c>
      <c r="J56">
        <f>2.04*I56/1000</f>
        <v>2.3246785154698142E-2</v>
      </c>
    </row>
    <row r="57" spans="1:13" x14ac:dyDescent="0.25">
      <c r="A57" s="3" t="s">
        <v>61</v>
      </c>
      <c r="B57">
        <v>0</v>
      </c>
      <c r="C57">
        <v>1</v>
      </c>
      <c r="D57">
        <f>IF(B57=0,0,(B57-$J$10)/$I$10)*C57</f>
        <v>0</v>
      </c>
      <c r="E57">
        <f>2.04*D57/1000</f>
        <v>0</v>
      </c>
      <c r="F57" s="3" t="s">
        <v>61</v>
      </c>
      <c r="G57">
        <v>0</v>
      </c>
      <c r="H57">
        <v>1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62</v>
      </c>
      <c r="B58">
        <v>6325</v>
      </c>
      <c r="C58">
        <v>1</v>
      </c>
      <c r="D58">
        <f>IF(B58=0,0,(B58-$J$11)/$I$11)*1</f>
        <v>57.123427686182637</v>
      </c>
      <c r="E58">
        <f>2.21*D58/1000</f>
        <v>0.12624277518646362</v>
      </c>
      <c r="F58" s="3" t="s">
        <v>62</v>
      </c>
      <c r="G58">
        <v>6146</v>
      </c>
      <c r="H58">
        <v>1</v>
      </c>
      <c r="I58">
        <f>IF(G58=0,0,(G58-$J$11)/$I$11)*1</f>
        <v>54.704472411645028</v>
      </c>
      <c r="J58">
        <f>2.21*I58/1000</f>
        <v>0.12089688402973552</v>
      </c>
    </row>
    <row r="59" spans="1:13" x14ac:dyDescent="0.25">
      <c r="A59" s="3" t="s">
        <v>63</v>
      </c>
      <c r="B59">
        <v>201</v>
      </c>
      <c r="C59">
        <v>1</v>
      </c>
      <c r="D59">
        <f>IF(B59=0,0,(B59-$J$12)/$I$12)*1</f>
        <v>8.4225061558503853</v>
      </c>
      <c r="E59">
        <f>2.34*D59/1000</f>
        <v>1.97086644046899E-2</v>
      </c>
      <c r="F59" s="3" t="s">
        <v>63</v>
      </c>
      <c r="G59">
        <v>205</v>
      </c>
      <c r="H59">
        <v>1</v>
      </c>
      <c r="I59">
        <f>IF(G59=0,0,(G59-$J$12)/$I$12)*1</f>
        <v>8.4744994281450836</v>
      </c>
      <c r="J59">
        <f>2.34*I59/1000</f>
        <v>1.9830328661859492E-2</v>
      </c>
    </row>
    <row r="60" spans="1:13" x14ac:dyDescent="0.25">
      <c r="B60" s="3" t="s">
        <v>69</v>
      </c>
      <c r="C60" s="3"/>
      <c r="D60" s="3">
        <f>SUM(D52:D59)</f>
        <v>754.37267736865556</v>
      </c>
      <c r="E60" s="3">
        <f>SUM(E52:E59)</f>
        <v>0.90273584096751636</v>
      </c>
      <c r="G60" s="3" t="s">
        <v>69</v>
      </c>
      <c r="H60" s="3"/>
      <c r="I60" s="3">
        <f>SUM(I52:I59)</f>
        <v>854.67503543606733</v>
      </c>
      <c r="J60" s="3">
        <f>SUM(J52:J59)</f>
        <v>1.0295306693303603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T60"/>
  <sheetViews>
    <sheetView topLeftCell="A39" workbookViewId="0">
      <selection activeCell="N55" sqref="N55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4">
        <v>6.5949999999999998</v>
      </c>
      <c r="C5" s="14">
        <v>1840</v>
      </c>
      <c r="D5" s="14">
        <v>8657</v>
      </c>
      <c r="E5" s="14">
        <v>17851</v>
      </c>
      <c r="F5" s="15">
        <v>53</v>
      </c>
      <c r="G5" s="15">
        <v>263</v>
      </c>
      <c r="H5" s="15">
        <v>525</v>
      </c>
      <c r="I5">
        <f>LINEST(C5:E5, F5:H5)</f>
        <v>33.969117331489478</v>
      </c>
      <c r="J5">
        <f>INTERCEPT(C5:E5, F5:H5)</f>
        <v>-73.342558594213187</v>
      </c>
      <c r="K5">
        <f>RSQ(C5:E5,F5:H5)</f>
        <v>0.99951678733630911</v>
      </c>
    </row>
    <row r="6" spans="1:20" ht="15.75" x14ac:dyDescent="0.25">
      <c r="A6" s="3" t="s">
        <v>57</v>
      </c>
      <c r="B6" s="14">
        <v>7.5739999999999998</v>
      </c>
      <c r="C6" s="14">
        <v>2748</v>
      </c>
      <c r="D6" s="14">
        <v>13175</v>
      </c>
      <c r="E6" s="14">
        <v>27393</v>
      </c>
      <c r="F6" s="15">
        <v>49</v>
      </c>
      <c r="G6" s="15">
        <v>247</v>
      </c>
      <c r="H6" s="15">
        <v>495</v>
      </c>
      <c r="I6">
        <f t="shared" ref="I6:I12" si="0">LINEST(C6:E6, F6:H6)</f>
        <v>55.343630683790352</v>
      </c>
      <c r="J6">
        <f>INTERCEPT(C6:E6, F6:H6)</f>
        <v>-153.6039569593886</v>
      </c>
      <c r="K6">
        <f t="shared" ref="K6:K12" si="1">RSQ(C6:E6,F6:H6)</f>
        <v>0.99942684687751493</v>
      </c>
    </row>
    <row r="7" spans="1:20" ht="15.75" x14ac:dyDescent="0.25">
      <c r="A7" s="3" t="s">
        <v>58</v>
      </c>
      <c r="B7" s="14">
        <v>7.9359999999999999</v>
      </c>
      <c r="C7" s="14">
        <v>3044</v>
      </c>
      <c r="D7" s="14">
        <v>15512</v>
      </c>
      <c r="E7" s="14">
        <v>32073</v>
      </c>
      <c r="F7" s="15">
        <v>47</v>
      </c>
      <c r="G7" s="15">
        <v>235</v>
      </c>
      <c r="H7" s="15">
        <v>469</v>
      </c>
      <c r="I7">
        <f t="shared" si="0"/>
        <v>68.868746830534263</v>
      </c>
      <c r="J7">
        <f t="shared" ref="J7:J12" si="2">INTERCEPT(C7:E7, F7:H7)</f>
        <v>-363.80962324374923</v>
      </c>
      <c r="K7">
        <f t="shared" si="1"/>
        <v>0.99966241615010198</v>
      </c>
    </row>
    <row r="8" spans="1:20" ht="15.75" x14ac:dyDescent="0.25">
      <c r="A8" s="3" t="s">
        <v>59</v>
      </c>
      <c r="B8" s="14">
        <v>8.673</v>
      </c>
      <c r="C8" s="14">
        <v>3166</v>
      </c>
      <c r="D8" s="14">
        <v>15612</v>
      </c>
      <c r="E8" s="14">
        <v>32840</v>
      </c>
      <c r="F8" s="15">
        <v>45</v>
      </c>
      <c r="G8" s="15">
        <v>227</v>
      </c>
      <c r="H8" s="15">
        <v>453</v>
      </c>
      <c r="I8">
        <f t="shared" si="0"/>
        <v>72.869227332205668</v>
      </c>
      <c r="J8">
        <f t="shared" si="2"/>
        <v>-404.06327194970072</v>
      </c>
      <c r="K8">
        <f>RSQ(C8:E8,F8:H8)</f>
        <v>0.99906450718647066</v>
      </c>
    </row>
    <row r="9" spans="1:20" ht="15.75" x14ac:dyDescent="0.25">
      <c r="A9" s="3" t="s">
        <v>60</v>
      </c>
      <c r="B9" s="14">
        <v>9.1479999999999997</v>
      </c>
      <c r="C9" s="14">
        <v>3399</v>
      </c>
      <c r="D9" s="14">
        <v>17031</v>
      </c>
      <c r="E9" s="14">
        <v>35852</v>
      </c>
      <c r="F9" s="15">
        <v>46</v>
      </c>
      <c r="G9" s="15">
        <v>228</v>
      </c>
      <c r="H9" s="15">
        <v>455</v>
      </c>
      <c r="I9">
        <f t="shared" si="0"/>
        <v>79.491724022958394</v>
      </c>
      <c r="J9">
        <f t="shared" si="2"/>
        <v>-555.82227091222012</v>
      </c>
      <c r="K9">
        <f t="shared" si="1"/>
        <v>0.99918135813984732</v>
      </c>
    </row>
    <row r="10" spans="1:20" ht="15.75" x14ac:dyDescent="0.25">
      <c r="A10" s="3" t="s">
        <v>61</v>
      </c>
      <c r="B10" s="14">
        <v>9.9339999999999993</v>
      </c>
      <c r="C10" s="14">
        <v>3352</v>
      </c>
      <c r="D10" s="14">
        <v>17055</v>
      </c>
      <c r="E10" s="14">
        <v>36075</v>
      </c>
      <c r="F10" s="15">
        <v>44</v>
      </c>
      <c r="G10" s="15">
        <v>221</v>
      </c>
      <c r="H10" s="15">
        <v>443</v>
      </c>
      <c r="I10">
        <f t="shared" si="0"/>
        <v>82.165127974179995</v>
      </c>
      <c r="J10">
        <f t="shared" si="2"/>
        <v>-563.63686857314678</v>
      </c>
      <c r="K10">
        <f t="shared" si="1"/>
        <v>0.99918716243234629</v>
      </c>
    </row>
    <row r="11" spans="1:20" ht="15.75" x14ac:dyDescent="0.25">
      <c r="A11" s="3" t="s">
        <v>62</v>
      </c>
      <c r="B11" s="14">
        <v>11.12</v>
      </c>
      <c r="C11" s="14">
        <v>3483</v>
      </c>
      <c r="D11" s="14">
        <v>17528</v>
      </c>
      <c r="E11" s="14">
        <v>37539</v>
      </c>
      <c r="F11" s="15">
        <v>44</v>
      </c>
      <c r="G11" s="15">
        <v>222</v>
      </c>
      <c r="H11" s="15">
        <v>444</v>
      </c>
      <c r="I11">
        <f t="shared" si="0"/>
        <v>85.342667906112027</v>
      </c>
      <c r="J11">
        <f t="shared" si="2"/>
        <v>-681.09807111317423</v>
      </c>
      <c r="K11">
        <f t="shared" si="1"/>
        <v>0.99860373901535227</v>
      </c>
    </row>
    <row r="12" spans="1:20" ht="15.75" x14ac:dyDescent="0.25">
      <c r="A12" s="3" t="s">
        <v>63</v>
      </c>
      <c r="B12" s="14">
        <v>12.247999999999999</v>
      </c>
      <c r="C12" s="14">
        <v>3804</v>
      </c>
      <c r="D12" s="14">
        <v>18618</v>
      </c>
      <c r="E12" s="14">
        <v>40386</v>
      </c>
      <c r="F12" s="15">
        <v>47</v>
      </c>
      <c r="G12" s="15">
        <v>234</v>
      </c>
      <c r="H12" s="15">
        <v>467</v>
      </c>
      <c r="I12">
        <f t="shared" si="0"/>
        <v>87.355178462534525</v>
      </c>
      <c r="J12">
        <f t="shared" si="2"/>
        <v>-844.55782999195071</v>
      </c>
      <c r="K12">
        <f t="shared" si="1"/>
        <v>0.99787044405442926</v>
      </c>
    </row>
    <row r="14" spans="1:20" x14ac:dyDescent="0.25">
      <c r="A14" s="16" t="s">
        <v>64</v>
      </c>
      <c r="B14" s="3" t="s">
        <v>31</v>
      </c>
      <c r="C14" s="3"/>
      <c r="F14" s="16" t="s">
        <v>64</v>
      </c>
      <c r="G14" s="3" t="s">
        <v>32</v>
      </c>
      <c r="H14" s="3"/>
      <c r="K14" s="16" t="s">
        <v>64</v>
      </c>
      <c r="L14" s="3" t="s">
        <v>33</v>
      </c>
      <c r="M14" s="3"/>
      <c r="P14" s="16" t="s">
        <v>64</v>
      </c>
      <c r="Q14" s="3" t="s">
        <v>34</v>
      </c>
    </row>
    <row r="15" spans="1:20" x14ac:dyDescent="0.25">
      <c r="A15" s="16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6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6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6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12402</v>
      </c>
      <c r="C16">
        <v>1</v>
      </c>
      <c r="D16">
        <f>IF(B16=0,0,(B16-$J$5)/$I$5)*C16</f>
        <v>367.25542312015074</v>
      </c>
      <c r="E16">
        <f>1.07*D16/1000</f>
        <v>0.39296330273856134</v>
      </c>
      <c r="F16" s="3" t="s">
        <v>56</v>
      </c>
      <c r="G16">
        <v>12362</v>
      </c>
      <c r="H16">
        <v>1</v>
      </c>
      <c r="I16">
        <f>IF(G16=0,0,(G16-$J$5)/$I$5)*H16</f>
        <v>366.0778829559581</v>
      </c>
      <c r="J16">
        <f>1.07*I16/1000</f>
        <v>0.39170333476287522</v>
      </c>
      <c r="K16" s="3" t="s">
        <v>56</v>
      </c>
      <c r="L16">
        <v>11290</v>
      </c>
      <c r="M16">
        <v>1</v>
      </c>
      <c r="N16">
        <f>IF(L16=0,0,(L16-$J$5)/$I$5)*M16</f>
        <v>334.51980655559629</v>
      </c>
      <c r="O16">
        <f>1.07*N16/1000</f>
        <v>0.35793619301448804</v>
      </c>
      <c r="P16" s="3" t="s">
        <v>56</v>
      </c>
      <c r="Q16">
        <v>23638</v>
      </c>
      <c r="R16">
        <v>1</v>
      </c>
      <c r="S16">
        <f>IF(Q16=0,0,(Q16-$J$5)/$I$5)*R16</f>
        <v>698.02645524185357</v>
      </c>
      <c r="T16">
        <f>1.07*S16/1000</f>
        <v>0.7468883071087834</v>
      </c>
    </row>
    <row r="17" spans="1:20" x14ac:dyDescent="0.25">
      <c r="A17" s="3" t="s">
        <v>57</v>
      </c>
      <c r="B17">
        <v>1213</v>
      </c>
      <c r="C17">
        <v>1</v>
      </c>
      <c r="D17">
        <f>IF(B17=0,0,(B17-$J$6)/$I$6)*C17</f>
        <v>24.693066574680916</v>
      </c>
      <c r="E17">
        <f>1.51*D17/1000</f>
        <v>3.7286530527768189E-2</v>
      </c>
      <c r="F17" s="3" t="s">
        <v>57</v>
      </c>
      <c r="G17">
        <v>1493</v>
      </c>
      <c r="H17">
        <v>1</v>
      </c>
      <c r="I17">
        <f>IF(G17=0,0,(G17-$J$6)/$I$6)*H17</f>
        <v>29.752366019630585</v>
      </c>
      <c r="J17">
        <f>1.51*I17/1000</f>
        <v>4.4926072689642181E-2</v>
      </c>
      <c r="K17" s="3" t="s">
        <v>57</v>
      </c>
      <c r="L17">
        <v>1479</v>
      </c>
      <c r="M17">
        <v>1</v>
      </c>
      <c r="N17">
        <f>IF(L17=0,0,(L17-$J$6)/$I$6)*M17</f>
        <v>29.499401047383099</v>
      </c>
      <c r="O17">
        <f>1.51*N17/1000</f>
        <v>4.4544095581548482E-2</v>
      </c>
      <c r="P17" s="3" t="s">
        <v>57</v>
      </c>
      <c r="Q17">
        <v>1468</v>
      </c>
      <c r="R17">
        <v>1</v>
      </c>
      <c r="S17">
        <f>IF(Q17=0,0,(Q17-$J$6)/$I$6)*R17</f>
        <v>29.300642854902936</v>
      </c>
      <c r="T17">
        <f>1.51*S17/1000</f>
        <v>4.4243970710903434E-2</v>
      </c>
    </row>
    <row r="18" spans="1:20" x14ac:dyDescent="0.25">
      <c r="A18" s="3" t="s">
        <v>58</v>
      </c>
      <c r="B18">
        <v>288</v>
      </c>
      <c r="C18">
        <v>1</v>
      </c>
      <c r="D18">
        <f>IF(B18=0,0,(B18-$J$7)/$I$7)*C18</f>
        <v>9.4645198764493426</v>
      </c>
      <c r="E18">
        <f>1.82*D18/1000</f>
        <v>1.7225426175137806E-2</v>
      </c>
      <c r="F18" s="3" t="s">
        <v>58</v>
      </c>
      <c r="G18">
        <v>214</v>
      </c>
      <c r="H18">
        <v>1</v>
      </c>
      <c r="I18">
        <f>IF(G18=0,0,(G18-$J$7)/$I$7)*H18</f>
        <v>8.3900121584260692</v>
      </c>
      <c r="J18">
        <f>1.82*I18/1000</f>
        <v>1.5269822128335447E-2</v>
      </c>
      <c r="K18" s="3" t="s">
        <v>58</v>
      </c>
      <c r="L18">
        <v>463</v>
      </c>
      <c r="M18">
        <v>1</v>
      </c>
      <c r="N18">
        <f>IF(L18=0,0,(L18-$J$7)/$I$7)*M18</f>
        <v>12.005585425828709</v>
      </c>
      <c r="O18">
        <f>1.82*N18/1000</f>
        <v>2.1850165475008249E-2</v>
      </c>
      <c r="P18" s="3" t="s">
        <v>58</v>
      </c>
      <c r="Q18">
        <v>660</v>
      </c>
      <c r="R18">
        <v>1</v>
      </c>
      <c r="S18">
        <f>IF(Q18=0,0,(Q18-$J$7)/$I$7)*R18</f>
        <v>14.86609921570148</v>
      </c>
      <c r="T18">
        <f>1.82*S18/1000</f>
        <v>2.7056300572576696E-2</v>
      </c>
    </row>
    <row r="19" spans="1:20" x14ac:dyDescent="0.25">
      <c r="A19" s="3" t="s">
        <v>59</v>
      </c>
      <c r="B19">
        <v>573</v>
      </c>
      <c r="C19">
        <v>1</v>
      </c>
      <c r="D19">
        <f>IF(B19=0,0,(B19-$J$8)/$I$8)*C19</f>
        <v>13.408448363193672</v>
      </c>
      <c r="E19">
        <f>1.82*D19/1000</f>
        <v>2.4403376021012484E-2</v>
      </c>
      <c r="F19" s="3" t="s">
        <v>59</v>
      </c>
      <c r="G19">
        <v>556</v>
      </c>
      <c r="H19">
        <v>1</v>
      </c>
      <c r="I19">
        <f>IF(G19=0,0,(G19-$J$8)/$I$8)*H19</f>
        <v>13.175153725355697</v>
      </c>
      <c r="J19">
        <f>1.82*I19/1000</f>
        <v>2.3978779780147369E-2</v>
      </c>
      <c r="K19" s="3" t="s">
        <v>59</v>
      </c>
      <c r="L19">
        <v>528</v>
      </c>
      <c r="M19">
        <v>1</v>
      </c>
      <c r="N19">
        <f>IF(L19=0,0,(L19-$J$8)/$I$8)*M19</f>
        <v>12.790903733622562</v>
      </c>
      <c r="O19">
        <f>1.82*N19/1000</f>
        <v>2.3279444795193064E-2</v>
      </c>
      <c r="P19" s="3" t="s">
        <v>59</v>
      </c>
      <c r="Q19">
        <v>568</v>
      </c>
      <c r="R19">
        <v>1</v>
      </c>
      <c r="S19">
        <f>IF(Q19=0,0,(Q19-$J$8)/$I$8)*R19</f>
        <v>13.339832293241328</v>
      </c>
      <c r="T19">
        <f>1.82*S19/1000</f>
        <v>2.427849477369922E-2</v>
      </c>
    </row>
    <row r="20" spans="1:20" x14ac:dyDescent="0.25">
      <c r="A20" s="3" t="s">
        <v>60</v>
      </c>
      <c r="B20">
        <v>499</v>
      </c>
      <c r="C20">
        <v>1</v>
      </c>
      <c r="D20">
        <f>IF(B20=0,0,(B20-$J$9)/$I$9)*C20</f>
        <v>13.269586033982252</v>
      </c>
      <c r="E20">
        <f>2.04*D20/1000</f>
        <v>2.7069955509323795E-2</v>
      </c>
      <c r="F20" s="3" t="s">
        <v>60</v>
      </c>
      <c r="G20">
        <v>321</v>
      </c>
      <c r="H20">
        <v>1</v>
      </c>
      <c r="I20">
        <f>IF(G20=0,0,(G20-$J$9)/$I$9)*H20</f>
        <v>11.030359219017326</v>
      </c>
      <c r="J20">
        <f>2.04*I20/1000</f>
        <v>2.2501932806795345E-2</v>
      </c>
      <c r="K20" s="3" t="s">
        <v>60</v>
      </c>
      <c r="L20">
        <v>300</v>
      </c>
      <c r="M20">
        <v>1</v>
      </c>
      <c r="N20">
        <f>IF(L20=0,0,(L20-$J$9)/$I$9)*M20</f>
        <v>10.766180774555171</v>
      </c>
      <c r="O20">
        <f>2.04*N20/1000</f>
        <v>2.1963008780092549E-2</v>
      </c>
      <c r="P20" s="3" t="s">
        <v>60</v>
      </c>
      <c r="Q20">
        <v>296</v>
      </c>
      <c r="R20">
        <v>1</v>
      </c>
      <c r="S20">
        <f>IF(Q20=0,0,(Q20-$J$9)/$I$9)*R20</f>
        <v>10.715861070848094</v>
      </c>
      <c r="T20">
        <f>2.04*S20/1000</f>
        <v>2.1860356584530113E-2</v>
      </c>
    </row>
    <row r="21" spans="1:20" x14ac:dyDescent="0.25">
      <c r="A21" s="3" t="s">
        <v>61</v>
      </c>
      <c r="B21">
        <v>429</v>
      </c>
      <c r="C21">
        <v>1</v>
      </c>
      <c r="D21">
        <f>IF(B21=0,0,(B21-$J$10)/$I$10)*C21</f>
        <v>12.080999482956788</v>
      </c>
      <c r="E21">
        <f>2.04*D21/1000</f>
        <v>2.4645238945231844E-2</v>
      </c>
      <c r="F21" s="3" t="s">
        <v>61</v>
      </c>
      <c r="G21">
        <v>0</v>
      </c>
      <c r="H21">
        <v>1</v>
      </c>
      <c r="I21">
        <f>IF(G21=0,0,(G21-$J$10)/$I$10)*H21</f>
        <v>0</v>
      </c>
      <c r="J21">
        <f>2.04*I21/1000</f>
        <v>0</v>
      </c>
      <c r="K21" s="3" t="s">
        <v>61</v>
      </c>
      <c r="L21">
        <v>0</v>
      </c>
      <c r="M21">
        <v>1</v>
      </c>
      <c r="N21">
        <f>IF(L21=0,0,(L21-$J$10)/$I$10)*M21</f>
        <v>0</v>
      </c>
      <c r="O21">
        <f>2.04*N21/1000</f>
        <v>0</v>
      </c>
      <c r="P21" s="3" t="s">
        <v>61</v>
      </c>
      <c r="Q21">
        <v>0</v>
      </c>
      <c r="R21">
        <v>1</v>
      </c>
      <c r="S21">
        <f>IF(Q21=0,0,(Q21-$J$10)/$I$10)*R21</f>
        <v>0</v>
      </c>
      <c r="T21">
        <f>2.04*S21/1000</f>
        <v>0</v>
      </c>
    </row>
    <row r="22" spans="1:20" x14ac:dyDescent="0.25">
      <c r="A22" s="3" t="s">
        <v>62</v>
      </c>
      <c r="B22">
        <v>789</v>
      </c>
      <c r="C22">
        <v>1</v>
      </c>
      <c r="D22">
        <f>IF(B22=0,0,(B22-$J$11)/$I$11)*1</f>
        <v>17.225827445779785</v>
      </c>
      <c r="E22">
        <f>2.21*D22/1000</f>
        <v>3.8069078655173332E-2</v>
      </c>
      <c r="F22" s="3" t="s">
        <v>62</v>
      </c>
      <c r="G22">
        <v>313</v>
      </c>
      <c r="H22">
        <v>1</v>
      </c>
      <c r="I22">
        <f>IF(G22=0,0,(G22-$J$11)/$I$11)*1</f>
        <v>11.648312567481611</v>
      </c>
      <c r="J22">
        <f>2.21*I22/1000</f>
        <v>2.5742770774134359E-2</v>
      </c>
      <c r="K22" s="3" t="s">
        <v>62</v>
      </c>
      <c r="L22">
        <v>0</v>
      </c>
      <c r="M22">
        <v>1</v>
      </c>
      <c r="N22">
        <f>IF(L22=0,0,(L22-$J$11)/$I$11)*1</f>
        <v>0</v>
      </c>
      <c r="O22">
        <f>2.21*N22/1000</f>
        <v>0</v>
      </c>
      <c r="P22" s="3" t="s">
        <v>62</v>
      </c>
      <c r="Q22">
        <v>221</v>
      </c>
      <c r="R22">
        <v>1</v>
      </c>
      <c r="S22">
        <f>IF(Q22=0,0,(Q22-$J$11)/$I$11)*1</f>
        <v>10.570305490163475</v>
      </c>
      <c r="T22">
        <f>2.21*S22/1000</f>
        <v>2.336037513326128E-2</v>
      </c>
    </row>
    <row r="23" spans="1:20" x14ac:dyDescent="0.25">
      <c r="A23" s="3" t="s">
        <v>63</v>
      </c>
      <c r="B23">
        <v>1490</v>
      </c>
      <c r="C23">
        <v>1</v>
      </c>
      <c r="D23">
        <f>IF(B23=0,0,(B23-$J$12)/$I$12)*1</f>
        <v>26.72489337301522</v>
      </c>
      <c r="E23">
        <f>2.34*D23/1000</f>
        <v>6.2536250492855619E-2</v>
      </c>
      <c r="F23" s="3" t="s">
        <v>63</v>
      </c>
      <c r="G23">
        <v>617</v>
      </c>
      <c r="H23">
        <v>1</v>
      </c>
      <c r="I23">
        <f>IF(G23=0,0,(G23-$J$12)/$I$12)*1</f>
        <v>16.731209937585938</v>
      </c>
      <c r="J23">
        <f>2.34*I23/1000</f>
        <v>3.9151031253951092E-2</v>
      </c>
      <c r="K23" s="3" t="s">
        <v>63</v>
      </c>
      <c r="L23">
        <v>396</v>
      </c>
      <c r="M23">
        <v>1</v>
      </c>
      <c r="N23">
        <f>IF(L23=0,0,(L23-$J$12)/$I$12)*1</f>
        <v>14.201308403531103</v>
      </c>
      <c r="O23">
        <f>2.34*N23/1000</f>
        <v>3.3231061664262783E-2</v>
      </c>
      <c r="P23" s="3" t="s">
        <v>63</v>
      </c>
      <c r="Q23">
        <v>232</v>
      </c>
      <c r="R23">
        <v>1</v>
      </c>
      <c r="S23">
        <f>IF(Q23=0,0,(Q23-$J$12)/$I$12)*1</f>
        <v>12.32391540993385</v>
      </c>
      <c r="T23">
        <f>2.34*S23/1000</f>
        <v>2.8837962059245208E-2</v>
      </c>
    </row>
    <row r="24" spans="1:20" x14ac:dyDescent="0.25">
      <c r="B24" s="3" t="s">
        <v>69</v>
      </c>
      <c r="C24" s="3"/>
      <c r="D24" s="3">
        <f>SUM(D16:D23)</f>
        <v>484.12276427020868</v>
      </c>
      <c r="E24" s="3">
        <f>SUM(E16:E23)</f>
        <v>0.62419915906506429</v>
      </c>
      <c r="G24" s="3" t="s">
        <v>69</v>
      </c>
      <c r="H24" s="3"/>
      <c r="I24" s="3">
        <f>SUM(I16:I23)</f>
        <v>456.8052965834554</v>
      </c>
      <c r="J24" s="3">
        <f>SUM(J16:J23)</f>
        <v>0.56327374419588105</v>
      </c>
      <c r="L24" s="3" t="s">
        <v>69</v>
      </c>
      <c r="M24" s="3"/>
      <c r="N24" s="3">
        <f>SUM(N16:N23)</f>
        <v>413.78318594051694</v>
      </c>
      <c r="O24" s="3">
        <f>SUM(O16:O23)</f>
        <v>0.50280396931059312</v>
      </c>
      <c r="Q24" s="3" t="s">
        <v>69</v>
      </c>
      <c r="R24" s="3"/>
      <c r="S24" s="3">
        <f>SUM(S16:S23)</f>
        <v>789.14311157664474</v>
      </c>
      <c r="T24" s="3">
        <f>SUM(T16:T23)</f>
        <v>0.91652576694299936</v>
      </c>
    </row>
    <row r="26" spans="1:20" x14ac:dyDescent="0.25">
      <c r="A26" s="16" t="s">
        <v>64</v>
      </c>
      <c r="B26" s="3" t="s">
        <v>35</v>
      </c>
      <c r="C26" s="3"/>
      <c r="F26" s="16" t="s">
        <v>64</v>
      </c>
      <c r="G26" s="3" t="s">
        <v>36</v>
      </c>
      <c r="H26" s="3"/>
      <c r="K26" s="16" t="s">
        <v>64</v>
      </c>
      <c r="L26" s="3" t="s">
        <v>37</v>
      </c>
      <c r="M26" s="3"/>
      <c r="P26" s="16" t="s">
        <v>64</v>
      </c>
      <c r="Q26" s="3" t="s">
        <v>38</v>
      </c>
      <c r="R26" s="3"/>
    </row>
    <row r="27" spans="1:20" x14ac:dyDescent="0.25">
      <c r="A27" s="16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6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6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6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23638</v>
      </c>
      <c r="C28">
        <v>1</v>
      </c>
      <c r="D28">
        <f>IF(B28=0,0,(B28-$J$5)/$I$5)*C28</f>
        <v>698.02645524185357</v>
      </c>
      <c r="E28">
        <f>1.07*D28/1000</f>
        <v>0.7468883071087834</v>
      </c>
      <c r="F28" s="3" t="s">
        <v>56</v>
      </c>
      <c r="G28">
        <v>15507</v>
      </c>
      <c r="H28">
        <v>1</v>
      </c>
      <c r="I28">
        <f>IF(G28=0,0,(G28-$J$5)/$I$5)*H28</f>
        <v>458.66197836560173</v>
      </c>
      <c r="J28">
        <f>1.07*I28/1000</f>
        <v>0.49076831685119388</v>
      </c>
      <c r="K28" s="3" t="s">
        <v>56</v>
      </c>
      <c r="L28">
        <v>22832</v>
      </c>
      <c r="M28">
        <v>1</v>
      </c>
      <c r="N28">
        <f>IF(L28=0,0,(L28-$J$5)/$I$5)*M28</f>
        <v>674.29902093337262</v>
      </c>
      <c r="O28">
        <f>1.07*N28/1000</f>
        <v>0.72149995239870868</v>
      </c>
      <c r="P28" s="3" t="s">
        <v>56</v>
      </c>
      <c r="Q28">
        <v>35902</v>
      </c>
      <c r="R28">
        <v>1</v>
      </c>
      <c r="S28">
        <f>IF(Q28=0,0,(Q28-$J$5)/$I$5)*R28</f>
        <v>1059.0602695833065</v>
      </c>
      <c r="T28">
        <f>1.07*S28/1000</f>
        <v>1.1331944884541381</v>
      </c>
    </row>
    <row r="29" spans="1:20" x14ac:dyDescent="0.25">
      <c r="A29" s="3" t="s">
        <v>57</v>
      </c>
      <c r="B29">
        <v>1468</v>
      </c>
      <c r="C29">
        <v>1</v>
      </c>
      <c r="D29">
        <f>IF(B29=0,0,(B29-$J$6)/$I$6)*C29</f>
        <v>29.300642854902936</v>
      </c>
      <c r="E29">
        <f>1.51*D29/1000</f>
        <v>4.4243970710903434E-2</v>
      </c>
      <c r="F29" s="3" t="s">
        <v>57</v>
      </c>
      <c r="G29">
        <v>1402</v>
      </c>
      <c r="H29">
        <v>1</v>
      </c>
      <c r="I29">
        <f>IF(G29=0,0,(G29-$J$6)/$I$6)*H29</f>
        <v>28.108093700021943</v>
      </c>
      <c r="J29">
        <f>1.51*I29/1000</f>
        <v>4.2443221487033132E-2</v>
      </c>
      <c r="K29" s="3" t="s">
        <v>57</v>
      </c>
      <c r="L29">
        <v>1177</v>
      </c>
      <c r="M29">
        <v>1</v>
      </c>
      <c r="N29">
        <f>IF(L29=0,0,(L29-$J$6)/$I$6)*M29</f>
        <v>24.0425852174731</v>
      </c>
      <c r="O29">
        <f>1.51*N29/1000</f>
        <v>3.6304303678384379E-2</v>
      </c>
      <c r="P29" s="3" t="s">
        <v>57</v>
      </c>
      <c r="Q29">
        <v>982</v>
      </c>
      <c r="R29">
        <v>1</v>
      </c>
      <c r="S29">
        <f>IF(Q29=0,0,(Q29-$J$6)/$I$6)*R29</f>
        <v>20.519144532597437</v>
      </c>
      <c r="T29">
        <f>1.51*S29/1000</f>
        <v>3.0983908244222133E-2</v>
      </c>
    </row>
    <row r="30" spans="1:20" x14ac:dyDescent="0.25">
      <c r="A30" s="3" t="s">
        <v>58</v>
      </c>
      <c r="B30">
        <v>660</v>
      </c>
      <c r="C30">
        <v>1</v>
      </c>
      <c r="D30">
        <f>IF(B30=0,0,(B30-$J$7)/$I$7)*C30</f>
        <v>14.86609921570148</v>
      </c>
      <c r="E30">
        <f>1.82*D30/1000</f>
        <v>2.7056300572576696E-2</v>
      </c>
      <c r="F30" s="3" t="s">
        <v>58</v>
      </c>
      <c r="G30">
        <v>1187</v>
      </c>
      <c r="H30">
        <v>1</v>
      </c>
      <c r="I30">
        <f>IF(G30=0,0,(G30-$J$7)/$I$7)*H30</f>
        <v>22.518336612975343</v>
      </c>
      <c r="J30">
        <f>1.82*I30/1000</f>
        <v>4.0983372635615127E-2</v>
      </c>
      <c r="K30" s="3" t="s">
        <v>58</v>
      </c>
      <c r="L30">
        <v>1023</v>
      </c>
      <c r="M30">
        <v>1</v>
      </c>
      <c r="N30">
        <f>IF(L30=0,0,(L30-$J$7)/$I$7)*M30</f>
        <v>20.136995183842679</v>
      </c>
      <c r="O30">
        <f>1.82*N30/1000</f>
        <v>3.6649331234593671E-2</v>
      </c>
      <c r="P30" s="3" t="s">
        <v>58</v>
      </c>
      <c r="Q30">
        <v>2153</v>
      </c>
      <c r="R30">
        <v>1</v>
      </c>
      <c r="S30">
        <f>IF(Q30=0,0,(Q30-$J$7)/$I$7)*R30</f>
        <v>36.545018445549438</v>
      </c>
      <c r="T30">
        <f>1.82*S30/1000</f>
        <v>6.6511933570899989E-2</v>
      </c>
    </row>
    <row r="31" spans="1:20" x14ac:dyDescent="0.25">
      <c r="A31" s="3" t="s">
        <v>59</v>
      </c>
      <c r="B31">
        <v>568</v>
      </c>
      <c r="C31">
        <v>1</v>
      </c>
      <c r="D31">
        <f>IF(B31=0,0,(B31-$J$8)/$I$8)*C31</f>
        <v>13.339832293241328</v>
      </c>
      <c r="E31">
        <f>1.82*D31/1000</f>
        <v>2.427849477369922E-2</v>
      </c>
      <c r="F31" s="3" t="s">
        <v>59</v>
      </c>
      <c r="G31">
        <v>476</v>
      </c>
      <c r="H31">
        <v>1</v>
      </c>
      <c r="I31">
        <f>IF(G31=0,0,(G31-$J$8)/$I$8)*H31</f>
        <v>12.077296606118168</v>
      </c>
      <c r="J31">
        <f>1.82*I31/1000</f>
        <v>2.1980679823135067E-2</v>
      </c>
      <c r="K31" s="3" t="s">
        <v>59</v>
      </c>
      <c r="L31">
        <v>564</v>
      </c>
      <c r="M31">
        <v>1</v>
      </c>
      <c r="N31">
        <f>IF(L31=0,0,(L31-$J$8)/$I$8)*M31</f>
        <v>13.284939437279451</v>
      </c>
      <c r="O31">
        <f>1.82*N31/1000</f>
        <v>2.4178589775848604E-2</v>
      </c>
      <c r="P31" s="3" t="s">
        <v>59</v>
      </c>
      <c r="Q31">
        <v>678</v>
      </c>
      <c r="R31">
        <v>1</v>
      </c>
      <c r="S31">
        <f>IF(Q31=0,0,(Q31-$J$8)/$I$8)*R31</f>
        <v>14.849385832192931</v>
      </c>
      <c r="T31">
        <f>1.82*S31/1000</f>
        <v>2.7025882214591134E-2</v>
      </c>
    </row>
    <row r="32" spans="1:20" x14ac:dyDescent="0.25">
      <c r="A32" s="3" t="s">
        <v>60</v>
      </c>
      <c r="B32">
        <v>296</v>
      </c>
      <c r="C32">
        <v>1</v>
      </c>
      <c r="D32">
        <f>IF(B32=0,0,(B32-$J$9)/$I$9)*C32</f>
        <v>10.715861070848094</v>
      </c>
      <c r="E32">
        <f>2.04*D32/1000</f>
        <v>2.1860356584530113E-2</v>
      </c>
      <c r="F32" s="3" t="s">
        <v>60</v>
      </c>
      <c r="G32">
        <v>251</v>
      </c>
      <c r="H32">
        <v>1</v>
      </c>
      <c r="I32">
        <f>IF(G32=0,0,(G32-$J$9)/$I$9)*H32</f>
        <v>10.149764404143479</v>
      </c>
      <c r="J32">
        <f>2.04*I32/1000</f>
        <v>2.0705519384452697E-2</v>
      </c>
      <c r="K32" s="3" t="s">
        <v>60</v>
      </c>
      <c r="L32">
        <v>251</v>
      </c>
      <c r="M32">
        <v>1</v>
      </c>
      <c r="N32">
        <f>IF(L32=0,0,(L32-$J$9)/$I$9)*M32</f>
        <v>10.149764404143479</v>
      </c>
      <c r="O32">
        <f>2.04*N32/1000</f>
        <v>2.0705519384452697E-2</v>
      </c>
      <c r="P32" s="3" t="s">
        <v>60</v>
      </c>
      <c r="Q32">
        <v>245</v>
      </c>
      <c r="R32">
        <v>1</v>
      </c>
      <c r="S32">
        <f>IF(Q32=0,0,(Q32-$J$9)/$I$9)*R32</f>
        <v>10.074284848582863</v>
      </c>
      <c r="T32">
        <f>2.04*S32/1000</f>
        <v>2.055154109110904E-2</v>
      </c>
    </row>
    <row r="33" spans="1:20" x14ac:dyDescent="0.25">
      <c r="A33" s="3" t="s">
        <v>61</v>
      </c>
      <c r="B33">
        <v>0</v>
      </c>
      <c r="C33">
        <v>1</v>
      </c>
      <c r="D33">
        <f>IF(B33=0,0,(B33-$J$10)/$I$10)*C33</f>
        <v>0</v>
      </c>
      <c r="E33">
        <f>2.04*D33/1000</f>
        <v>0</v>
      </c>
      <c r="F33" s="3" t="s">
        <v>61</v>
      </c>
      <c r="G33">
        <v>0</v>
      </c>
      <c r="H33">
        <v>1</v>
      </c>
      <c r="I33">
        <f>IF(G33=0,0,(G33-$J$10)/$I$10)*H33</f>
        <v>0</v>
      </c>
      <c r="J33">
        <f>2.04*I33/1000</f>
        <v>0</v>
      </c>
      <c r="K33" s="3" t="s">
        <v>61</v>
      </c>
      <c r="L33">
        <v>0</v>
      </c>
      <c r="M33">
        <v>1</v>
      </c>
      <c r="N33">
        <f>IF(L33=0,0,(L33-$J$10)/$I$10)*M33</f>
        <v>0</v>
      </c>
      <c r="O33">
        <f>2.04*N33/1000</f>
        <v>0</v>
      </c>
      <c r="P33" s="3" t="s">
        <v>61</v>
      </c>
      <c r="Q33">
        <v>0</v>
      </c>
      <c r="R33">
        <v>1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62</v>
      </c>
      <c r="B34">
        <v>221</v>
      </c>
      <c r="C34">
        <v>1</v>
      </c>
      <c r="D34">
        <f>IF(B34=0,0,(B34-$J$11)/$I$11)*1</f>
        <v>10.570305490163475</v>
      </c>
      <c r="E34">
        <f>2.21*D34/1000</f>
        <v>2.336037513326128E-2</v>
      </c>
      <c r="F34" s="3" t="s">
        <v>62</v>
      </c>
      <c r="G34">
        <v>0</v>
      </c>
      <c r="H34">
        <v>1</v>
      </c>
      <c r="I34">
        <f>IF(G34=0,0,(G34-$J$11)/$I$11)*1</f>
        <v>0</v>
      </c>
      <c r="J34">
        <f>2.21*I34/1000</f>
        <v>0</v>
      </c>
      <c r="K34" s="3" t="s">
        <v>62</v>
      </c>
      <c r="L34">
        <v>0</v>
      </c>
      <c r="M34">
        <v>1</v>
      </c>
      <c r="N34">
        <f>IF(L34=0,0,(L34-$J$11)/$I$11)*1</f>
        <v>0</v>
      </c>
      <c r="O34">
        <f>2.21*N34/1000</f>
        <v>0</v>
      </c>
      <c r="P34" s="3" t="s">
        <v>62</v>
      </c>
      <c r="Q34">
        <v>1460</v>
      </c>
      <c r="R34">
        <v>1</v>
      </c>
      <c r="S34">
        <f>IF(Q34=0,0,(Q34-$J$11)/$I$11)*1</f>
        <v>25.088248629263138</v>
      </c>
      <c r="T34">
        <f>2.21*S34/1000</f>
        <v>5.5445029470671536E-2</v>
      </c>
    </row>
    <row r="35" spans="1:20" x14ac:dyDescent="0.25">
      <c r="A35" s="3" t="s">
        <v>63</v>
      </c>
      <c r="B35">
        <v>232</v>
      </c>
      <c r="C35">
        <v>1</v>
      </c>
      <c r="D35">
        <f>IF(B35=0,0,(B35-$J$12)/$I$12)*1</f>
        <v>12.32391540993385</v>
      </c>
      <c r="E35">
        <f>2.34*D35/1000</f>
        <v>2.8837962059245208E-2</v>
      </c>
      <c r="F35" s="3" t="s">
        <v>63</v>
      </c>
      <c r="G35">
        <v>0</v>
      </c>
      <c r="H35">
        <v>1</v>
      </c>
      <c r="I35">
        <f>IF(G35=0,0,(G35-$J$12)/$I$12)*1</f>
        <v>0</v>
      </c>
      <c r="J35">
        <f>2.34*I35/1000</f>
        <v>0</v>
      </c>
      <c r="K35" s="3" t="s">
        <v>63</v>
      </c>
      <c r="L35">
        <v>0</v>
      </c>
      <c r="M35">
        <v>1</v>
      </c>
      <c r="N35">
        <f>IF(L35=0,0,(L35-$J$12)/$I$12)*1</f>
        <v>0</v>
      </c>
      <c r="O35">
        <f>2.34*N35/1000</f>
        <v>0</v>
      </c>
      <c r="P35" s="3" t="s">
        <v>63</v>
      </c>
      <c r="Q35">
        <v>0</v>
      </c>
      <c r="R35">
        <v>1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69</v>
      </c>
      <c r="C36" s="3"/>
      <c r="D36" s="3">
        <f>SUM(D28:D35)</f>
        <v>789.14311157664474</v>
      </c>
      <c r="E36" s="3">
        <f>SUM(E28:E35)</f>
        <v>0.91652576694299936</v>
      </c>
      <c r="G36" s="3" t="s">
        <v>69</v>
      </c>
      <c r="H36" s="3"/>
      <c r="I36" s="3">
        <f>SUM(I28:I35)</f>
        <v>531.51546968886066</v>
      </c>
      <c r="J36" s="3">
        <f>SUM(J28:J35)</f>
        <v>0.61688111018142999</v>
      </c>
      <c r="L36" s="3" t="s">
        <v>69</v>
      </c>
      <c r="M36" s="3"/>
      <c r="N36" s="3">
        <f>SUM(N28:N35)</f>
        <v>741.91330517611141</v>
      </c>
      <c r="O36" s="3">
        <f>SUM(O28:O35)</f>
        <v>0.83933769647198808</v>
      </c>
      <c r="Q36" s="3" t="s">
        <v>69</v>
      </c>
      <c r="R36" s="3"/>
      <c r="S36" s="3">
        <f>SUM(S28:S35)</f>
        <v>1166.1363518714923</v>
      </c>
      <c r="T36" s="3">
        <f>SUM(T28:T35)</f>
        <v>1.3337127830456317</v>
      </c>
    </row>
    <row r="38" spans="1:20" x14ac:dyDescent="0.25">
      <c r="A38" s="16" t="s">
        <v>64</v>
      </c>
      <c r="B38" s="3" t="s">
        <v>39</v>
      </c>
      <c r="C38" s="3"/>
      <c r="F38" s="16" t="s">
        <v>64</v>
      </c>
      <c r="G38" s="3" t="s">
        <v>40</v>
      </c>
      <c r="H38" s="3"/>
      <c r="K38" s="16" t="s">
        <v>64</v>
      </c>
      <c r="L38" s="3" t="s">
        <v>41</v>
      </c>
      <c r="M38" s="3"/>
      <c r="P38" s="16" t="s">
        <v>64</v>
      </c>
      <c r="Q38" s="3" t="s">
        <v>42</v>
      </c>
      <c r="R38" s="3"/>
    </row>
    <row r="39" spans="1:20" x14ac:dyDescent="0.25">
      <c r="A39" s="16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6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6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6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19606</v>
      </c>
      <c r="C40">
        <v>1</v>
      </c>
      <c r="D40">
        <f>IF(B40=0,0,(B40-$J$5)/$I$5)*C40</f>
        <v>579.33040669123898</v>
      </c>
      <c r="E40">
        <f>1.07*D40/1000</f>
        <v>0.61988353515962569</v>
      </c>
      <c r="F40" s="3" t="s">
        <v>56</v>
      </c>
      <c r="G40">
        <v>18107</v>
      </c>
      <c r="H40">
        <v>1</v>
      </c>
      <c r="I40">
        <f>IF(G40=0,0,(G40-$J$5)/$I$5)*H40</f>
        <v>535.20208903812102</v>
      </c>
      <c r="J40">
        <f>1.07*I40/1000</f>
        <v>0.57266623527078953</v>
      </c>
      <c r="K40" s="3" t="s">
        <v>56</v>
      </c>
      <c r="L40">
        <v>9186</v>
      </c>
      <c r="M40">
        <v>1</v>
      </c>
      <c r="N40">
        <f>IF(L40=0,0,(L40-$J$5)/$I$5)*M40</f>
        <v>272.58119391906524</v>
      </c>
      <c r="O40">
        <f>1.07*N40/1000</f>
        <v>0.29166187749339978</v>
      </c>
      <c r="P40" s="3" t="s">
        <v>56</v>
      </c>
      <c r="Q40">
        <v>14488</v>
      </c>
      <c r="R40">
        <v>1</v>
      </c>
      <c r="S40">
        <f>IF(Q40=0,0,(Q40-$J$5)/$I$5)*R40</f>
        <v>428.6641426827951</v>
      </c>
      <c r="T40">
        <f>1.07*S40/1000</f>
        <v>0.45867063267059083</v>
      </c>
    </row>
    <row r="41" spans="1:20" x14ac:dyDescent="0.25">
      <c r="A41" s="3" t="s">
        <v>57</v>
      </c>
      <c r="B41">
        <v>769</v>
      </c>
      <c r="C41">
        <v>1</v>
      </c>
      <c r="D41">
        <f>IF(B41=0,0,(B41-$J$6)/$I$6)*C41</f>
        <v>16.67046316911787</v>
      </c>
      <c r="E41">
        <f>1.51*D41/1000</f>
        <v>2.5172399385367986E-2</v>
      </c>
      <c r="F41" s="3" t="s">
        <v>57</v>
      </c>
      <c r="G41">
        <v>763</v>
      </c>
      <c r="H41">
        <v>1</v>
      </c>
      <c r="I41">
        <f>IF(G41=0,0,(G41-$J$6)/$I$6)*H41</f>
        <v>16.562049609583234</v>
      </c>
      <c r="J41">
        <f>1.51*I41/1000</f>
        <v>2.5008694910470683E-2</v>
      </c>
      <c r="K41" s="3" t="s">
        <v>57</v>
      </c>
      <c r="L41">
        <v>703</v>
      </c>
      <c r="M41">
        <v>1</v>
      </c>
      <c r="N41">
        <f>IF(L41=0,0,(L41-$J$6)/$I$6)*M41</f>
        <v>15.477914014236875</v>
      </c>
      <c r="O41">
        <f>1.51*N41/1000</f>
        <v>2.3371650161497681E-2</v>
      </c>
      <c r="P41" s="3" t="s">
        <v>57</v>
      </c>
      <c r="Q41">
        <v>828</v>
      </c>
      <c r="R41">
        <v>1</v>
      </c>
      <c r="S41">
        <f>IF(Q41=0,0,(Q41-$J$6)/$I$6)*R41</f>
        <v>17.736529837875121</v>
      </c>
      <c r="T41">
        <f>1.51*S41/1000</f>
        <v>2.6782160055191434E-2</v>
      </c>
    </row>
    <row r="42" spans="1:20" x14ac:dyDescent="0.25">
      <c r="A42" s="3" t="s">
        <v>58</v>
      </c>
      <c r="B42">
        <v>2369</v>
      </c>
      <c r="C42">
        <v>1</v>
      </c>
      <c r="D42">
        <f>IF(B42=0,0,(B42-$J$7)/$I$7)*C42</f>
        <v>39.681419352211975</v>
      </c>
      <c r="E42">
        <f>1.82*D42/1000</f>
        <v>7.2220183221025788E-2</v>
      </c>
      <c r="F42" s="3" t="s">
        <v>58</v>
      </c>
      <c r="G42">
        <v>2108</v>
      </c>
      <c r="H42">
        <v>1</v>
      </c>
      <c r="I42">
        <f>IF(G42=0,0,(G42-$J$7)/$I$7)*H42</f>
        <v>35.89160158999475</v>
      </c>
      <c r="J42">
        <f>1.82*I42/1000</f>
        <v>6.5322714893790448E-2</v>
      </c>
      <c r="K42" s="3" t="s">
        <v>58</v>
      </c>
      <c r="L42">
        <v>1325</v>
      </c>
      <c r="M42">
        <v>1</v>
      </c>
      <c r="N42">
        <f>IF(L42=0,0,(L42-$J$7)/$I$7)*M42</f>
        <v>24.522148303343069</v>
      </c>
      <c r="O42">
        <f>1.82*N42/1000</f>
        <v>4.4630309912084387E-2</v>
      </c>
      <c r="P42" s="3" t="s">
        <v>58</v>
      </c>
      <c r="Q42">
        <v>1453</v>
      </c>
      <c r="R42">
        <v>1</v>
      </c>
      <c r="S42">
        <f>IF(Q42=0,0,(Q42-$J$7)/$I$7)*R42</f>
        <v>26.380756248031979</v>
      </c>
      <c r="T42">
        <f>1.82*S42/1000</f>
        <v>4.8012976371418208E-2</v>
      </c>
    </row>
    <row r="43" spans="1:20" x14ac:dyDescent="0.25">
      <c r="A43" s="3" t="s">
        <v>59</v>
      </c>
      <c r="B43">
        <v>678</v>
      </c>
      <c r="C43">
        <v>1</v>
      </c>
      <c r="D43">
        <f>IF(B43=0,0,(B43-$J$8)/$I$8)*C43</f>
        <v>14.849385832192931</v>
      </c>
      <c r="E43">
        <f>1.82*D43/1000</f>
        <v>2.7025882214591134E-2</v>
      </c>
      <c r="F43" s="3" t="s">
        <v>59</v>
      </c>
      <c r="G43">
        <v>704</v>
      </c>
      <c r="H43">
        <v>1</v>
      </c>
      <c r="I43">
        <f>IF(G43=0,0,(G43-$J$8)/$I$8)*H43</f>
        <v>15.206189395945128</v>
      </c>
      <c r="J43">
        <f>1.82*I43/1000</f>
        <v>2.7675264700620133E-2</v>
      </c>
      <c r="K43" s="3" t="s">
        <v>59</v>
      </c>
      <c r="L43">
        <v>592</v>
      </c>
      <c r="M43">
        <v>1</v>
      </c>
      <c r="N43">
        <f>IF(L43=0,0,(L43-$J$8)/$I$8)*M43</f>
        <v>13.669189429012587</v>
      </c>
      <c r="O43">
        <f>1.82*N43/1000</f>
        <v>2.4877924760802909E-2</v>
      </c>
      <c r="P43" s="3" t="s">
        <v>59</v>
      </c>
      <c r="Q43">
        <v>648</v>
      </c>
      <c r="R43">
        <v>1</v>
      </c>
      <c r="S43">
        <f>IF(Q43=0,0,(Q43-$J$8)/$I$8)*R43</f>
        <v>14.437689412478857</v>
      </c>
      <c r="T43">
        <f>1.82*S43/1000</f>
        <v>2.6276594730711519E-2</v>
      </c>
    </row>
    <row r="44" spans="1:20" x14ac:dyDescent="0.25">
      <c r="A44" s="3" t="s">
        <v>60</v>
      </c>
      <c r="B44">
        <v>259</v>
      </c>
      <c r="C44">
        <v>1</v>
      </c>
      <c r="D44">
        <f>IF(B44=0,0,(B44-$J$9)/$I$9)*C44</f>
        <v>10.250403811557632</v>
      </c>
      <c r="E44">
        <f>2.04*D44/1000</f>
        <v>2.0910823775577569E-2</v>
      </c>
      <c r="F44" s="3" t="s">
        <v>60</v>
      </c>
      <c r="G44">
        <v>246</v>
      </c>
      <c r="H44">
        <v>1</v>
      </c>
      <c r="I44">
        <f>IF(G44=0,0,(G44-$J$9)/$I$9)*H44</f>
        <v>10.086864774509632</v>
      </c>
      <c r="J44">
        <f>2.04*I44/1000</f>
        <v>2.0577204139999652E-2</v>
      </c>
      <c r="K44" s="3" t="s">
        <v>60</v>
      </c>
      <c r="L44">
        <v>234</v>
      </c>
      <c r="M44">
        <v>1</v>
      </c>
      <c r="N44">
        <f>IF(L44=0,0,(L44-$J$9)/$I$9)*M44</f>
        <v>9.9359056633884002</v>
      </c>
      <c r="O44">
        <f>2.04*N44/1000</f>
        <v>2.0269247553312338E-2</v>
      </c>
      <c r="P44" s="3" t="s">
        <v>60</v>
      </c>
      <c r="Q44">
        <v>230</v>
      </c>
      <c r="R44">
        <v>1</v>
      </c>
      <c r="S44">
        <f>IF(Q44=0,0,(Q44-$J$9)/$I$9)*R44</f>
        <v>9.8855859596813236</v>
      </c>
      <c r="T44">
        <f>2.04*S44/1000</f>
        <v>2.0166595357749902E-2</v>
      </c>
    </row>
    <row r="45" spans="1:20" x14ac:dyDescent="0.25">
      <c r="A45" s="3" t="s">
        <v>61</v>
      </c>
      <c r="B45">
        <v>0</v>
      </c>
      <c r="C45">
        <v>1</v>
      </c>
      <c r="D45">
        <f>IF(B45=0,0,(B45-$J$10)/$I$10)*C45</f>
        <v>0</v>
      </c>
      <c r="E45">
        <f>2.04*D45/1000</f>
        <v>0</v>
      </c>
      <c r="F45" s="3" t="s">
        <v>61</v>
      </c>
      <c r="G45">
        <v>0</v>
      </c>
      <c r="H45">
        <v>1</v>
      </c>
      <c r="I45">
        <f>IF(G45=0,0,(G45-$J$10)/$I$10)*H45</f>
        <v>0</v>
      </c>
      <c r="J45">
        <f>2.04*I45/1000</f>
        <v>0</v>
      </c>
      <c r="K45" s="3" t="s">
        <v>61</v>
      </c>
      <c r="L45">
        <v>0</v>
      </c>
      <c r="M45">
        <v>1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1512</v>
      </c>
      <c r="C46">
        <v>1</v>
      </c>
      <c r="D46">
        <f>IF(B46=0,0,(B46-$J$11)/$I$11)*1</f>
        <v>25.697556977312519</v>
      </c>
      <c r="E46">
        <f>2.21*D46/1000</f>
        <v>5.6791600919860671E-2</v>
      </c>
      <c r="F46" s="3" t="s">
        <v>62</v>
      </c>
      <c r="G46">
        <v>2083</v>
      </c>
      <c r="H46">
        <v>1</v>
      </c>
      <c r="I46">
        <f>IF(G46=0,0,(G46-$J$11)/$I$11)*1</f>
        <v>32.388231337623985</v>
      </c>
      <c r="J46">
        <f>2.21*I46/1000</f>
        <v>7.1577991256148998E-2</v>
      </c>
      <c r="K46" s="3" t="s">
        <v>62</v>
      </c>
      <c r="L46">
        <v>2406</v>
      </c>
      <c r="M46">
        <v>1</v>
      </c>
      <c r="N46">
        <f>IF(L46=0,0,(L46-$J$11)/$I$11)*1</f>
        <v>36.172973576469175</v>
      </c>
      <c r="O46">
        <f>2.21*N46/1000</f>
        <v>7.9942271603996876E-2</v>
      </c>
      <c r="P46" s="3" t="s">
        <v>62</v>
      </c>
      <c r="Q46">
        <v>5341</v>
      </c>
      <c r="R46">
        <v>1</v>
      </c>
      <c r="S46">
        <f>IF(Q46=0,0,(Q46-$J$11)/$I$11)*1</f>
        <v>70.563742836564018</v>
      </c>
      <c r="T46">
        <f>2.21*S46/1000</f>
        <v>0.1559458716688065</v>
      </c>
    </row>
    <row r="47" spans="1:20" x14ac:dyDescent="0.25">
      <c r="A47" s="3" t="s">
        <v>63</v>
      </c>
      <c r="B47">
        <v>0</v>
      </c>
      <c r="C47">
        <v>1</v>
      </c>
      <c r="D47">
        <f>IF(B47=0,0,(B47-$J$12)/$I$12)*1</f>
        <v>0</v>
      </c>
      <c r="E47">
        <f>2.34*D47/1000</f>
        <v>0</v>
      </c>
      <c r="F47" s="3" t="s">
        <v>63</v>
      </c>
      <c r="G47">
        <v>0</v>
      </c>
      <c r="H47">
        <v>1</v>
      </c>
      <c r="I47">
        <f>IF(G47=0,0,(G47-$J$12)/$I$12)*1</f>
        <v>0</v>
      </c>
      <c r="J47">
        <f>2.34*I47/1000</f>
        <v>0</v>
      </c>
      <c r="K47" s="3" t="s">
        <v>63</v>
      </c>
      <c r="L47">
        <v>0</v>
      </c>
      <c r="M47">
        <v>1</v>
      </c>
      <c r="N47">
        <f>IF(L47=0,0,(L47-$J$12)/$I$12)*1</f>
        <v>0</v>
      </c>
      <c r="O47">
        <f>2.34*N47/1000</f>
        <v>0</v>
      </c>
      <c r="P47" s="3" t="s">
        <v>63</v>
      </c>
      <c r="Q47">
        <v>0</v>
      </c>
      <c r="R47">
        <v>1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686.47963583363185</v>
      </c>
      <c r="E48" s="3">
        <f>SUM(E40:E47)</f>
        <v>0.82200442467604884</v>
      </c>
      <c r="F48" s="3"/>
      <c r="G48" s="3" t="s">
        <v>69</v>
      </c>
      <c r="H48" s="3"/>
      <c r="I48" s="3">
        <f>SUM(I40:I47)</f>
        <v>645.33702574577774</v>
      </c>
      <c r="J48" s="3">
        <f>SUM(J40:J47)</f>
        <v>0.78282810517181933</v>
      </c>
      <c r="K48" s="3"/>
      <c r="L48" s="3" t="s">
        <v>69</v>
      </c>
      <c r="M48" s="3"/>
      <c r="N48" s="3">
        <f>SUM(N40:N47)</f>
        <v>372.35932490551534</v>
      </c>
      <c r="O48" s="3">
        <f>SUM(O40:O47)</f>
        <v>0.48475328148509395</v>
      </c>
      <c r="P48" s="3"/>
      <c r="Q48" s="3" t="s">
        <v>69</v>
      </c>
      <c r="R48" s="3"/>
      <c r="S48" s="3">
        <f>SUM(S40:S47)</f>
        <v>567.66844697742636</v>
      </c>
      <c r="T48" s="3">
        <f>SUM(T40:T47)</f>
        <v>0.73585483085446834</v>
      </c>
    </row>
    <row r="50" spans="1:13" x14ac:dyDescent="0.25">
      <c r="A50" s="16" t="s">
        <v>64</v>
      </c>
      <c r="B50" s="3" t="s">
        <v>43</v>
      </c>
      <c r="C50" s="3"/>
      <c r="F50" s="16" t="s">
        <v>64</v>
      </c>
      <c r="G50" s="3" t="s">
        <v>44</v>
      </c>
      <c r="H50" s="3"/>
      <c r="M50" s="3"/>
    </row>
    <row r="51" spans="1:13" x14ac:dyDescent="0.25">
      <c r="A51" s="16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6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B52">
        <v>8535</v>
      </c>
      <c r="C52">
        <v>1</v>
      </c>
      <c r="D52">
        <f>IF(B52=0,0,(B52-$J$5)/$I$5)*C52</f>
        <v>253.41672774683059</v>
      </c>
      <c r="E52">
        <f>1.07*D52/1000</f>
        <v>0.27115589868910878</v>
      </c>
      <c r="F52" s="3" t="s">
        <v>56</v>
      </c>
      <c r="G52">
        <v>6562</v>
      </c>
      <c r="H52">
        <v>1</v>
      </c>
      <c r="I52">
        <f>IF(G52=0,0,(G52-$J$5)/$I$5)*H52</f>
        <v>195.33455914803031</v>
      </c>
      <c r="J52">
        <f>1.07*I52/1000</f>
        <v>0.20900797828839246</v>
      </c>
    </row>
    <row r="53" spans="1:13" x14ac:dyDescent="0.25">
      <c r="A53" s="3" t="s">
        <v>57</v>
      </c>
      <c r="B53">
        <v>561</v>
      </c>
      <c r="C53">
        <v>1</v>
      </c>
      <c r="D53">
        <f>IF(B53=0,0,(B53-$J$6)/$I$6)*C53</f>
        <v>12.912126438583828</v>
      </c>
      <c r="E53">
        <f>1.51*D53/1000</f>
        <v>1.949731092226158E-2</v>
      </c>
      <c r="F53" s="3" t="s">
        <v>57</v>
      </c>
      <c r="G53">
        <v>668</v>
      </c>
      <c r="H53">
        <v>1</v>
      </c>
      <c r="I53">
        <f>IF(G53=0,0,(G53-$J$6)/$I$6)*H53</f>
        <v>14.845501583618166</v>
      </c>
      <c r="J53">
        <f>1.51*I53/1000</f>
        <v>2.2416707391263429E-2</v>
      </c>
    </row>
    <row r="54" spans="1:13" x14ac:dyDescent="0.25">
      <c r="A54" s="3" t="s">
        <v>58</v>
      </c>
      <c r="B54">
        <v>814</v>
      </c>
      <c r="C54">
        <v>1</v>
      </c>
      <c r="D54">
        <f>IF(B54=0,0,(B54-$J$7)/$I$7)*C54</f>
        <v>17.102236899155322</v>
      </c>
      <c r="E54">
        <f>1.82*D54/1000</f>
        <v>3.1126071156462685E-2</v>
      </c>
      <c r="F54" s="3" t="s">
        <v>58</v>
      </c>
      <c r="G54">
        <v>1058</v>
      </c>
      <c r="H54">
        <v>1</v>
      </c>
      <c r="I54">
        <f>IF(G54=0,0,(G54-$J$7)/$I$7)*H54</f>
        <v>20.645208293718554</v>
      </c>
      <c r="J54">
        <f>1.82*I54/1000</f>
        <v>3.7574279094567772E-2</v>
      </c>
    </row>
    <row r="55" spans="1:13" x14ac:dyDescent="0.25">
      <c r="A55" s="3" t="s">
        <v>59</v>
      </c>
      <c r="B55">
        <v>451</v>
      </c>
      <c r="C55">
        <v>1</v>
      </c>
      <c r="D55">
        <f>IF(B55=0,0,(B55-$J$8)/$I$8)*C55</f>
        <v>11.73421625635644</v>
      </c>
      <c r="E55">
        <f>1.82*D55/1000</f>
        <v>2.1356273586568723E-2</v>
      </c>
      <c r="F55" s="3" t="s">
        <v>59</v>
      </c>
      <c r="G55">
        <v>494</v>
      </c>
      <c r="H55">
        <v>1</v>
      </c>
      <c r="I55">
        <f>IF(G55=0,0,(G55-$J$8)/$I$8)*H55</f>
        <v>12.324314457946612</v>
      </c>
      <c r="J55">
        <f>1.82*I55/1000</f>
        <v>2.2430252313462833E-2</v>
      </c>
    </row>
    <row r="56" spans="1:13" x14ac:dyDescent="0.25">
      <c r="A56" s="3" t="s">
        <v>60</v>
      </c>
      <c r="B56">
        <v>0</v>
      </c>
      <c r="C56">
        <v>1</v>
      </c>
      <c r="D56">
        <f>IF(B56=0,0,(B56-$J$9)/$I$9)*C56</f>
        <v>0</v>
      </c>
      <c r="E56">
        <f>2.04*D56/1000</f>
        <v>0</v>
      </c>
      <c r="F56" s="3" t="s">
        <v>60</v>
      </c>
      <c r="G56">
        <v>0</v>
      </c>
      <c r="H56">
        <v>1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61</v>
      </c>
      <c r="B57">
        <v>0</v>
      </c>
      <c r="C57">
        <v>1</v>
      </c>
      <c r="D57">
        <f>IF(B57=0,0,(B57-$J$10)/$I$10)*C57</f>
        <v>0</v>
      </c>
      <c r="E57">
        <f>2.04*D57/1000</f>
        <v>0</v>
      </c>
      <c r="F57" s="3" t="s">
        <v>61</v>
      </c>
      <c r="G57">
        <v>0</v>
      </c>
      <c r="H57">
        <v>1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62</v>
      </c>
      <c r="B58">
        <v>4978</v>
      </c>
      <c r="C58">
        <v>1</v>
      </c>
      <c r="D58">
        <f>IF(B58=0,0,(B58-$J$11)/$I$11)*1</f>
        <v>66.310301868450068</v>
      </c>
      <c r="E58">
        <f>2.21*D58/1000</f>
        <v>0.14654576712927464</v>
      </c>
      <c r="F58" s="3" t="s">
        <v>62</v>
      </c>
      <c r="G58">
        <v>3952</v>
      </c>
      <c r="H58">
        <v>1</v>
      </c>
      <c r="I58">
        <f>IF(G58=0,0,(G58-$J$11)/$I$11)*1</f>
        <v>54.288179462706523</v>
      </c>
      <c r="J58">
        <f>2.21*I58/1000</f>
        <v>0.11997687661258143</v>
      </c>
    </row>
    <row r="59" spans="1:13" x14ac:dyDescent="0.25">
      <c r="A59" s="3" t="s">
        <v>63</v>
      </c>
      <c r="B59">
        <v>0</v>
      </c>
      <c r="C59">
        <v>1</v>
      </c>
      <c r="D59">
        <f>IF(B59=0,0,(B59-$J$12)/$I$12)*1</f>
        <v>0</v>
      </c>
      <c r="E59">
        <f>2.34*D59/1000</f>
        <v>0</v>
      </c>
      <c r="F59" s="3" t="s">
        <v>63</v>
      </c>
      <c r="G59">
        <v>0</v>
      </c>
      <c r="H59">
        <v>1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69</v>
      </c>
      <c r="C60" s="3"/>
      <c r="D60" s="3">
        <f>SUM(D52:D59)</f>
        <v>361.47560920937622</v>
      </c>
      <c r="E60" s="3">
        <f>SUM(E52:E59)</f>
        <v>0.48968132148367643</v>
      </c>
      <c r="G60" s="3" t="s">
        <v>69</v>
      </c>
      <c r="H60" s="3"/>
      <c r="I60" s="3">
        <f>SUM(I52:I59)</f>
        <v>297.43776294602014</v>
      </c>
      <c r="J60" s="3">
        <f>SUM(J52:J59)</f>
        <v>0.41140609370026793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T60"/>
  <sheetViews>
    <sheetView topLeftCell="A36" workbookViewId="0">
      <selection activeCell="M59" sqref="M59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4">
        <v>6.6050000000000004</v>
      </c>
      <c r="C5" s="14">
        <v>1857</v>
      </c>
      <c r="D5" s="14">
        <v>7495</v>
      </c>
      <c r="E5" s="14">
        <v>15275</v>
      </c>
      <c r="F5" s="15">
        <v>53</v>
      </c>
      <c r="G5" s="15">
        <v>263</v>
      </c>
      <c r="H5" s="15">
        <v>525</v>
      </c>
      <c r="I5">
        <f>LINEST(C5:E5, F5:H5)</f>
        <v>28.479399632817533</v>
      </c>
      <c r="J5">
        <f>INTERCEPT(C5:E5, F5:H5)</f>
        <v>225.27496960015287</v>
      </c>
      <c r="K5">
        <f>RSQ(C5:E5,F5:H5)</f>
        <v>0.99919447390958327</v>
      </c>
    </row>
    <row r="6" spans="1:20" ht="15.75" x14ac:dyDescent="0.25">
      <c r="A6" s="3" t="s">
        <v>57</v>
      </c>
      <c r="B6" s="14">
        <v>7.6</v>
      </c>
      <c r="C6" s="14">
        <v>2438</v>
      </c>
      <c r="D6" s="14">
        <v>11181</v>
      </c>
      <c r="E6" s="14">
        <v>23074</v>
      </c>
      <c r="F6" s="15">
        <v>49</v>
      </c>
      <c r="G6" s="15">
        <v>247</v>
      </c>
      <c r="H6" s="15">
        <v>495</v>
      </c>
      <c r="I6">
        <f t="shared" ref="I6:I12" si="0">LINEST(C6:E6, F6:H6)</f>
        <v>46.338858035404378</v>
      </c>
      <c r="J6">
        <f>INTERCEPT(C6:E6, F6:H6)</f>
        <v>12.987764665047507</v>
      </c>
      <c r="K6">
        <f t="shared" ref="K6:K12" si="1">RSQ(C6:E6,F6:H6)</f>
        <v>0.99945870655476632</v>
      </c>
    </row>
    <row r="7" spans="1:20" ht="15.75" x14ac:dyDescent="0.25">
      <c r="A7" s="3" t="s">
        <v>58</v>
      </c>
      <c r="B7" s="14">
        <v>7.9470000000000001</v>
      </c>
      <c r="C7" s="14">
        <v>2675</v>
      </c>
      <c r="D7" s="14">
        <v>12947</v>
      </c>
      <c r="E7" s="14">
        <v>27299</v>
      </c>
      <c r="F7" s="15">
        <v>47</v>
      </c>
      <c r="G7" s="15">
        <v>235</v>
      </c>
      <c r="H7" s="15">
        <v>469</v>
      </c>
      <c r="I7">
        <f t="shared" si="0"/>
        <v>58.470423291471526</v>
      </c>
      <c r="J7">
        <f t="shared" ref="J7:J12" si="2">INTERCEPT(C7:E7, F7:H7)</f>
        <v>-330.09596396504094</v>
      </c>
      <c r="K7">
        <f t="shared" si="1"/>
        <v>0.99894275210856609</v>
      </c>
    </row>
    <row r="8" spans="1:20" ht="15.75" x14ac:dyDescent="0.25">
      <c r="A8" s="3" t="s">
        <v>59</v>
      </c>
      <c r="B8" s="14">
        <v>8.6739999999999995</v>
      </c>
      <c r="C8" s="14">
        <v>2659</v>
      </c>
      <c r="D8" s="14">
        <v>12833</v>
      </c>
      <c r="E8" s="14">
        <v>27102</v>
      </c>
      <c r="F8" s="15">
        <v>45</v>
      </c>
      <c r="G8" s="15">
        <v>227</v>
      </c>
      <c r="H8" s="15">
        <v>453</v>
      </c>
      <c r="I8">
        <f t="shared" si="0"/>
        <v>60.037364759199583</v>
      </c>
      <c r="J8">
        <f t="shared" si="2"/>
        <v>-311.02981680656376</v>
      </c>
      <c r="K8">
        <f>RSQ(C8:E8,F8:H8)</f>
        <v>0.99882793999913733</v>
      </c>
    </row>
    <row r="9" spans="1:20" ht="15.75" x14ac:dyDescent="0.25">
      <c r="A9" s="3" t="s">
        <v>60</v>
      </c>
      <c r="B9" s="14">
        <v>9.1489999999999991</v>
      </c>
      <c r="C9" s="14">
        <v>2900</v>
      </c>
      <c r="D9" s="14">
        <v>13870</v>
      </c>
      <c r="E9" s="14">
        <v>29412</v>
      </c>
      <c r="F9" s="15">
        <v>46</v>
      </c>
      <c r="G9" s="15">
        <v>228</v>
      </c>
      <c r="H9" s="15">
        <v>455</v>
      </c>
      <c r="I9">
        <f t="shared" si="0"/>
        <v>64.969325299483174</v>
      </c>
      <c r="J9">
        <f t="shared" si="2"/>
        <v>-393.54604777441818</v>
      </c>
      <c r="K9">
        <f t="shared" si="1"/>
        <v>0.9987189279374068</v>
      </c>
    </row>
    <row r="10" spans="1:20" ht="15.75" x14ac:dyDescent="0.25">
      <c r="A10" s="3" t="s">
        <v>61</v>
      </c>
      <c r="B10" s="14">
        <v>9.9339999999999993</v>
      </c>
      <c r="C10" s="14">
        <v>2851</v>
      </c>
      <c r="D10" s="14">
        <v>13715</v>
      </c>
      <c r="E10" s="14">
        <v>29249</v>
      </c>
      <c r="F10" s="15">
        <v>44</v>
      </c>
      <c r="G10" s="15">
        <v>221</v>
      </c>
      <c r="H10" s="15">
        <v>443</v>
      </c>
      <c r="I10">
        <f t="shared" si="0"/>
        <v>66.319222397357947</v>
      </c>
      <c r="J10">
        <f t="shared" si="2"/>
        <v>-379.6698191098094</v>
      </c>
      <c r="K10">
        <f t="shared" si="1"/>
        <v>0.99864919041442779</v>
      </c>
    </row>
    <row r="11" spans="1:20" ht="15.75" x14ac:dyDescent="0.25">
      <c r="A11" s="3" t="s">
        <v>62</v>
      </c>
      <c r="B11" s="14">
        <v>11.118</v>
      </c>
      <c r="C11" s="14">
        <v>7534</v>
      </c>
      <c r="D11" s="14">
        <v>17207</v>
      </c>
      <c r="E11" s="14">
        <v>33464</v>
      </c>
      <c r="F11" s="15">
        <v>44</v>
      </c>
      <c r="G11" s="15">
        <v>222</v>
      </c>
      <c r="H11" s="15">
        <v>444</v>
      </c>
      <c r="I11">
        <f t="shared" si="0"/>
        <v>65.165698349988375</v>
      </c>
      <c r="J11">
        <f t="shared" si="2"/>
        <v>3979.1180571694167</v>
      </c>
      <c r="K11">
        <f t="shared" si="1"/>
        <v>0.99326861315569803</v>
      </c>
    </row>
    <row r="12" spans="1:20" ht="15.75" x14ac:dyDescent="0.25">
      <c r="A12" s="3" t="s">
        <v>63</v>
      </c>
      <c r="B12" s="14">
        <v>12.246</v>
      </c>
      <c r="C12" s="14">
        <v>3167</v>
      </c>
      <c r="D12" s="14">
        <v>14699</v>
      </c>
      <c r="E12" s="14">
        <v>31788</v>
      </c>
      <c r="F12" s="15">
        <v>47</v>
      </c>
      <c r="G12" s="15">
        <v>234</v>
      </c>
      <c r="H12" s="15">
        <v>467</v>
      </c>
      <c r="I12">
        <f t="shared" si="0"/>
        <v>68.354956372478924</v>
      </c>
      <c r="J12">
        <f t="shared" si="2"/>
        <v>-491.83578887140538</v>
      </c>
      <c r="K12">
        <f t="shared" si="1"/>
        <v>0.99765136507147323</v>
      </c>
    </row>
    <row r="14" spans="1:20" x14ac:dyDescent="0.25">
      <c r="A14" s="16" t="s">
        <v>64</v>
      </c>
      <c r="B14" s="3" t="s">
        <v>31</v>
      </c>
      <c r="C14" s="3"/>
      <c r="F14" s="16" t="s">
        <v>64</v>
      </c>
      <c r="G14" s="3" t="s">
        <v>32</v>
      </c>
      <c r="H14" s="3"/>
      <c r="K14" s="16" t="s">
        <v>64</v>
      </c>
      <c r="L14" s="3" t="s">
        <v>33</v>
      </c>
      <c r="M14" s="3"/>
      <c r="P14" s="16" t="s">
        <v>64</v>
      </c>
      <c r="Q14" s="3" t="s">
        <v>34</v>
      </c>
    </row>
    <row r="15" spans="1:20" x14ac:dyDescent="0.25">
      <c r="A15" s="16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6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6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6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12736</v>
      </c>
      <c r="C16">
        <v>1</v>
      </c>
      <c r="D16">
        <f>IF(B16=0,0,(B16-$J$5)/$I$5)*C16</f>
        <v>439.29033588135837</v>
      </c>
      <c r="E16">
        <f>1.07*D16/1000</f>
        <v>0.47004065939305351</v>
      </c>
      <c r="F16" s="3" t="s">
        <v>56</v>
      </c>
      <c r="G16">
        <v>7649</v>
      </c>
      <c r="H16">
        <v>1</v>
      </c>
      <c r="I16">
        <f>IF(G16=0,0,(G16-$J$5)/$I$5)*H16</f>
        <v>260.66999747583515</v>
      </c>
      <c r="J16">
        <f>1.07*I16/1000</f>
        <v>0.2789168972991436</v>
      </c>
      <c r="K16" s="3" t="s">
        <v>56</v>
      </c>
      <c r="L16">
        <v>4723</v>
      </c>
      <c r="M16">
        <v>1</v>
      </c>
      <c r="N16">
        <f>IF(L16=0,0,(L16-$J$5)/$I$5)*M16</f>
        <v>157.92906762040744</v>
      </c>
      <c r="O16">
        <f>1.07*N16/1000</f>
        <v>0.16898410235383596</v>
      </c>
      <c r="P16" s="3" t="s">
        <v>56</v>
      </c>
      <c r="Q16">
        <v>5097</v>
      </c>
      <c r="R16">
        <v>1</v>
      </c>
      <c r="S16">
        <f>IF(Q16=0,0,(Q16-$J$5)/$I$5)*R16</f>
        <v>171.06136692523654</v>
      </c>
      <c r="T16">
        <f>1.07*S16/1000</f>
        <v>0.18303566261000309</v>
      </c>
    </row>
    <row r="17" spans="1:20" x14ac:dyDescent="0.25">
      <c r="A17" s="3" t="s">
        <v>57</v>
      </c>
      <c r="B17">
        <v>1717</v>
      </c>
      <c r="C17">
        <v>1</v>
      </c>
      <c r="D17">
        <f>IF(B17=0,0,(B17-$J$6)/$I$6)*C17</f>
        <v>36.772857760824238</v>
      </c>
      <c r="E17">
        <f>1.51*D17/1000</f>
        <v>5.5527015218844594E-2</v>
      </c>
      <c r="F17" s="3" t="s">
        <v>57</v>
      </c>
      <c r="G17">
        <v>1259</v>
      </c>
      <c r="H17">
        <v>1</v>
      </c>
      <c r="I17">
        <f>IF(G17=0,0,(G17-$J$6)/$I$6)*H17</f>
        <v>26.889144190453703</v>
      </c>
      <c r="J17">
        <f>1.51*I17/1000</f>
        <v>4.0602607727585088E-2</v>
      </c>
      <c r="K17" s="3" t="s">
        <v>57</v>
      </c>
      <c r="L17">
        <v>786</v>
      </c>
      <c r="M17">
        <v>1</v>
      </c>
      <c r="N17">
        <f>IF(L17=0,0,(L17-$J$6)/$I$6)*M17</f>
        <v>16.681728210573215</v>
      </c>
      <c r="O17">
        <f>1.51*N17/1000</f>
        <v>2.5189409597965555E-2</v>
      </c>
      <c r="P17" s="3" t="s">
        <v>57</v>
      </c>
      <c r="Q17">
        <v>960</v>
      </c>
      <c r="R17">
        <v>1</v>
      </c>
      <c r="S17">
        <f>IF(Q17=0,0,(Q17-$J$6)/$I$6)*R17</f>
        <v>20.436676160888659</v>
      </c>
      <c r="T17">
        <f>1.51*S17/1000</f>
        <v>3.0859381002941878E-2</v>
      </c>
    </row>
    <row r="18" spans="1:20" x14ac:dyDescent="0.25">
      <c r="A18" s="3" t="s">
        <v>58</v>
      </c>
      <c r="B18">
        <v>1576</v>
      </c>
      <c r="C18">
        <v>1</v>
      </c>
      <c r="D18">
        <f>IF(B18=0,0,(B18-$J$7)/$I$7)*C18</f>
        <v>32.599318709619524</v>
      </c>
      <c r="E18">
        <f>1.82*D18/1000</f>
        <v>5.9330760051507538E-2</v>
      </c>
      <c r="F18" s="3" t="s">
        <v>58</v>
      </c>
      <c r="G18">
        <v>2510</v>
      </c>
      <c r="H18">
        <v>1</v>
      </c>
      <c r="I18">
        <f>IF(G18=0,0,(G18-$J$7)/$I$7)*H18</f>
        <v>48.573206829841716</v>
      </c>
      <c r="J18">
        <f>1.82*I18/1000</f>
        <v>8.8403236430311921E-2</v>
      </c>
      <c r="K18" s="3" t="s">
        <v>58</v>
      </c>
      <c r="L18">
        <v>2107</v>
      </c>
      <c r="M18">
        <v>1</v>
      </c>
      <c r="N18">
        <f>IF(L18=0,0,(L18-$J$7)/$I$7)*M18</f>
        <v>41.680833261908589</v>
      </c>
      <c r="O18">
        <f>1.82*N18/1000</f>
        <v>7.585911653667364E-2</v>
      </c>
      <c r="P18" s="3" t="s">
        <v>58</v>
      </c>
      <c r="Q18">
        <v>2325</v>
      </c>
      <c r="R18">
        <v>1</v>
      </c>
      <c r="S18">
        <f>IF(Q18=0,0,(Q18-$J$7)/$I$7)*R18</f>
        <v>45.409214000889783</v>
      </c>
      <c r="T18">
        <f>1.82*S18/1000</f>
        <v>8.2644769481619404E-2</v>
      </c>
    </row>
    <row r="19" spans="1:20" x14ac:dyDescent="0.25">
      <c r="A19" s="3" t="s">
        <v>59</v>
      </c>
      <c r="B19">
        <v>1680</v>
      </c>
      <c r="C19">
        <v>1</v>
      </c>
      <c r="D19">
        <f>IF(B19=0,0,(B19-$J$8)/$I$8)*C19</f>
        <v>33.163178044077561</v>
      </c>
      <c r="E19">
        <f>1.82*D19/1000</f>
        <v>6.0356984040221162E-2</v>
      </c>
      <c r="F19" s="3" t="s">
        <v>59</v>
      </c>
      <c r="G19">
        <v>865</v>
      </c>
      <c r="H19">
        <v>1</v>
      </c>
      <c r="I19">
        <f>IF(G19=0,0,(G19-$J$8)/$I$8)*H19</f>
        <v>19.588298412554153</v>
      </c>
      <c r="J19">
        <f>1.82*I19/1000</f>
        <v>3.5650703110848558E-2</v>
      </c>
      <c r="K19" s="3" t="s">
        <v>59</v>
      </c>
      <c r="L19">
        <v>397</v>
      </c>
      <c r="M19">
        <v>1</v>
      </c>
      <c r="N19">
        <f>IF(L19=0,0,(L19-$J$8)/$I$8)*M19</f>
        <v>11.793152808194694</v>
      </c>
      <c r="O19">
        <f>1.82*N19/1000</f>
        <v>2.1463538110914344E-2</v>
      </c>
      <c r="P19" s="3" t="s">
        <v>59</v>
      </c>
      <c r="Q19">
        <v>431</v>
      </c>
      <c r="R19">
        <v>1</v>
      </c>
      <c r="S19">
        <f>IF(Q19=0,0,(Q19-$J$8)/$I$8)*R19</f>
        <v>12.359466805092604</v>
      </c>
      <c r="T19">
        <f>1.82*S19/1000</f>
        <v>2.2494229585268539E-2</v>
      </c>
    </row>
    <row r="20" spans="1:20" x14ac:dyDescent="0.25">
      <c r="A20" s="3" t="s">
        <v>60</v>
      </c>
      <c r="B20">
        <v>1963</v>
      </c>
      <c r="C20">
        <v>1</v>
      </c>
      <c r="D20">
        <f>IF(B20=0,0,(B20-$J$9)/$I$9)*C20</f>
        <v>36.271671853011597</v>
      </c>
      <c r="E20">
        <f>2.04*D20/1000</f>
        <v>7.399421058014366E-2</v>
      </c>
      <c r="F20" s="3" t="s">
        <v>60</v>
      </c>
      <c r="G20">
        <v>1020</v>
      </c>
      <c r="H20">
        <v>1</v>
      </c>
      <c r="I20">
        <f>IF(G20=0,0,(G20-$J$9)/$I$9)*H20</f>
        <v>21.757129864878909</v>
      </c>
      <c r="J20">
        <f>2.04*I20/1000</f>
        <v>4.4384544924352974E-2</v>
      </c>
      <c r="K20" s="3" t="s">
        <v>60</v>
      </c>
      <c r="L20">
        <v>461</v>
      </c>
      <c r="M20">
        <v>1</v>
      </c>
      <c r="N20">
        <f>IF(L20=0,0,(L20-$J$9)/$I$9)*M20</f>
        <v>13.153069449856455</v>
      </c>
      <c r="O20">
        <f>2.04*N20/1000</f>
        <v>2.6832261677707168E-2</v>
      </c>
      <c r="P20" s="3" t="s">
        <v>60</v>
      </c>
      <c r="Q20">
        <v>361</v>
      </c>
      <c r="R20">
        <v>1</v>
      </c>
      <c r="S20">
        <f>IF(Q20=0,0,(Q20-$J$9)/$I$9)*R20</f>
        <v>11.613881540192331</v>
      </c>
      <c r="T20">
        <f>2.04*S20/1000</f>
        <v>2.3692318341992355E-2</v>
      </c>
    </row>
    <row r="21" spans="1:20" x14ac:dyDescent="0.25">
      <c r="A21" s="3" t="s">
        <v>61</v>
      </c>
      <c r="B21">
        <v>2124</v>
      </c>
      <c r="C21">
        <v>1</v>
      </c>
      <c r="D21">
        <f>IF(B21=0,0,(B21-$J$10)/$I$10)*C21</f>
        <v>37.751796969343715</v>
      </c>
      <c r="E21">
        <f>2.04*D21/1000</f>
        <v>7.7013665817461177E-2</v>
      </c>
      <c r="F21" s="3" t="s">
        <v>61</v>
      </c>
      <c r="G21">
        <v>1002</v>
      </c>
      <c r="H21">
        <v>1</v>
      </c>
      <c r="I21">
        <f>IF(G21=0,0,(G21-$J$10)/$I$10)*H21</f>
        <v>20.833625141612831</v>
      </c>
      <c r="J21">
        <f>2.04*I21/1000</f>
        <v>4.2500595288890178E-2</v>
      </c>
      <c r="K21" s="3" t="s">
        <v>61</v>
      </c>
      <c r="L21">
        <v>372</v>
      </c>
      <c r="M21">
        <v>1</v>
      </c>
      <c r="N21">
        <f>IF(L21=0,0,(L21-$J$10)/$I$10)*M21</f>
        <v>11.334116896095493</v>
      </c>
      <c r="O21">
        <f>2.04*N21/1000</f>
        <v>2.3121598468034806E-2</v>
      </c>
      <c r="P21" s="3" t="s">
        <v>61</v>
      </c>
      <c r="Q21">
        <v>265</v>
      </c>
      <c r="R21">
        <v>1</v>
      </c>
      <c r="S21">
        <f>IF(Q21=0,0,(Q21-$J$10)/$I$10)*R21</f>
        <v>9.7207083528092149</v>
      </c>
      <c r="T21">
        <f>2.04*S21/1000</f>
        <v>1.9830245039730798E-2</v>
      </c>
    </row>
    <row r="22" spans="1:20" x14ac:dyDescent="0.25">
      <c r="A22" s="3" t="s">
        <v>62</v>
      </c>
      <c r="B22">
        <v>5714</v>
      </c>
      <c r="C22">
        <v>1</v>
      </c>
      <c r="D22">
        <f>IF(B22=0,0,(B22-$J$11)/$I$11)*1</f>
        <v>26.622624889446808</v>
      </c>
      <c r="E22">
        <f>2.21*D22/1000</f>
        <v>5.8836001005677444E-2</v>
      </c>
      <c r="F22" s="3" t="s">
        <v>62</v>
      </c>
      <c r="G22">
        <v>4007</v>
      </c>
      <c r="H22">
        <v>1</v>
      </c>
      <c r="I22">
        <f>IF(G22=0,0,(G22-$J$11)/$I$11)*1</f>
        <v>0.4278622578528426</v>
      </c>
      <c r="J22">
        <f>2.21*I22/1000</f>
        <v>9.4557558985478203E-4</v>
      </c>
      <c r="K22" s="3" t="s">
        <v>62</v>
      </c>
      <c r="L22">
        <v>2993</v>
      </c>
      <c r="M22">
        <v>1</v>
      </c>
      <c r="N22">
        <f>IF(L22=0,0,(L22-$J$11)/$I$11)*1</f>
        <v>-15.132471256169584</v>
      </c>
      <c r="O22">
        <f>2.21*N22/1000</f>
        <v>-3.3442761476134779E-2</v>
      </c>
      <c r="P22" s="3" t="s">
        <v>62</v>
      </c>
      <c r="Q22">
        <v>2315</v>
      </c>
      <c r="R22">
        <v>1</v>
      </c>
      <c r="S22">
        <f>IF(Q22=0,0,(Q22-$J$11)/$I$11)*1</f>
        <v>-25.536717925308839</v>
      </c>
      <c r="T22">
        <f>2.21*S22/1000</f>
        <v>-5.6436146614932535E-2</v>
      </c>
    </row>
    <row r="23" spans="1:20" x14ac:dyDescent="0.25">
      <c r="A23" s="3" t="s">
        <v>63</v>
      </c>
      <c r="B23">
        <v>3313</v>
      </c>
      <c r="C23">
        <v>1</v>
      </c>
      <c r="D23">
        <f>IF(B23=0,0,(B23-$J$12)/$I$12)*1</f>
        <v>55.662910062265922</v>
      </c>
      <c r="E23">
        <f>2.34*D23/1000</f>
        <v>0.13025120954570224</v>
      </c>
      <c r="F23" s="3" t="s">
        <v>63</v>
      </c>
      <c r="G23">
        <v>1699</v>
      </c>
      <c r="H23">
        <v>1</v>
      </c>
      <c r="I23">
        <f>IF(G23=0,0,(G23-$J$12)/$I$12)*1</f>
        <v>32.050869536557556</v>
      </c>
      <c r="J23">
        <f>2.34*I23/1000</f>
        <v>7.4999034715544685E-2</v>
      </c>
      <c r="K23" s="3" t="s">
        <v>63</v>
      </c>
      <c r="L23">
        <v>770</v>
      </c>
      <c r="M23">
        <v>1</v>
      </c>
      <c r="N23">
        <f>IF(L23=0,0,(L23-$J$12)/$I$12)*1</f>
        <v>18.460048193073614</v>
      </c>
      <c r="O23">
        <f>2.34*N23/1000</f>
        <v>4.3196512771792255E-2</v>
      </c>
      <c r="P23" s="3" t="s">
        <v>63</v>
      </c>
      <c r="Q23">
        <v>520</v>
      </c>
      <c r="R23">
        <v>1</v>
      </c>
      <c r="S23">
        <f>IF(Q23=0,0,(Q23-$J$12)/$I$12)*1</f>
        <v>14.802668929488057</v>
      </c>
      <c r="T23">
        <f>2.34*S23/1000</f>
        <v>3.4638245295002049E-2</v>
      </c>
    </row>
    <row r="24" spans="1:20" x14ac:dyDescent="0.25">
      <c r="B24" s="3" t="s">
        <v>69</v>
      </c>
      <c r="C24" s="3"/>
      <c r="D24" s="3">
        <f>SUM(D16:D23)</f>
        <v>698.13469416994781</v>
      </c>
      <c r="E24" s="3">
        <f>SUM(E16:E23)</f>
        <v>0.98535050565261129</v>
      </c>
      <c r="G24" s="3" t="s">
        <v>69</v>
      </c>
      <c r="H24" s="3"/>
      <c r="I24" s="3">
        <f>SUM(I16:I23)</f>
        <v>430.79013370958683</v>
      </c>
      <c r="J24" s="3">
        <f>SUM(J16:J23)</f>
        <v>0.60640319508653173</v>
      </c>
      <c r="L24" s="3" t="s">
        <v>69</v>
      </c>
      <c r="M24" s="3"/>
      <c r="N24" s="3">
        <f>SUM(N16:N23)</f>
        <v>255.89954518393989</v>
      </c>
      <c r="O24" s="3">
        <f>SUM(O16:O23)</f>
        <v>0.35120377804078895</v>
      </c>
      <c r="Q24" s="3" t="s">
        <v>69</v>
      </c>
      <c r="R24" s="3"/>
      <c r="S24" s="3">
        <f>SUM(S16:S23)</f>
        <v>259.86726478928836</v>
      </c>
      <c r="T24" s="3">
        <f>SUM(T16:T23)</f>
        <v>0.34075870474162562</v>
      </c>
    </row>
    <row r="26" spans="1:20" x14ac:dyDescent="0.25">
      <c r="A26" s="16" t="s">
        <v>64</v>
      </c>
      <c r="B26" s="3" t="s">
        <v>35</v>
      </c>
      <c r="C26" s="3"/>
      <c r="F26" s="16" t="s">
        <v>64</v>
      </c>
      <c r="G26" s="3" t="s">
        <v>36</v>
      </c>
      <c r="H26" s="3"/>
      <c r="K26" s="16" t="s">
        <v>64</v>
      </c>
      <c r="L26" s="3" t="s">
        <v>37</v>
      </c>
      <c r="M26" s="3"/>
      <c r="P26" s="16" t="s">
        <v>64</v>
      </c>
      <c r="Q26" s="3" t="s">
        <v>38</v>
      </c>
      <c r="R26" s="3"/>
    </row>
    <row r="27" spans="1:20" x14ac:dyDescent="0.25">
      <c r="A27" s="16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6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6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6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4108</v>
      </c>
      <c r="C28">
        <v>1</v>
      </c>
      <c r="D28">
        <f>IF(B28=0,0,(B28-$J$5)/$I$5)*C28</f>
        <v>136.33451127690503</v>
      </c>
      <c r="E28">
        <f>1.07*D28/1000</f>
        <v>0.14587792706628841</v>
      </c>
      <c r="F28" s="3" t="s">
        <v>56</v>
      </c>
      <c r="G28">
        <v>5605</v>
      </c>
      <c r="H28">
        <v>1</v>
      </c>
      <c r="I28">
        <f>IF(G28=0,0,(G28-$J$5)/$I$5)*H28</f>
        <v>188.89882159596701</v>
      </c>
      <c r="J28">
        <f>1.07*I28/1000</f>
        <v>0.20212173910768472</v>
      </c>
      <c r="K28" s="3" t="s">
        <v>56</v>
      </c>
      <c r="L28">
        <v>9700</v>
      </c>
      <c r="M28">
        <v>1</v>
      </c>
      <c r="N28">
        <f>IF(L28=0,0,(L28-$J$5)/$I$5)*M28</f>
        <v>332.68696505392211</v>
      </c>
      <c r="O28">
        <f>1.07*N28/1000</f>
        <v>0.35597505260769668</v>
      </c>
      <c r="P28" s="3" t="s">
        <v>56</v>
      </c>
      <c r="Q28">
        <v>24058</v>
      </c>
      <c r="R28">
        <v>1</v>
      </c>
      <c r="S28">
        <f>IF(Q28=0,0,(Q28-$J$5)/$I$5)*R28</f>
        <v>836.84085120027589</v>
      </c>
      <c r="T28">
        <f>1.07*S28/1000</f>
        <v>0.89541971078429528</v>
      </c>
    </row>
    <row r="29" spans="1:20" x14ac:dyDescent="0.25">
      <c r="A29" s="3" t="s">
        <v>57</v>
      </c>
      <c r="B29">
        <v>896</v>
      </c>
      <c r="C29">
        <v>1</v>
      </c>
      <c r="D29">
        <f>IF(B29=0,0,(B29-$J$6)/$I$6)*C29</f>
        <v>19.055545880312863</v>
      </c>
      <c r="E29">
        <f>1.51*D29/1000</f>
        <v>2.8773874279272423E-2</v>
      </c>
      <c r="F29" s="3" t="s">
        <v>57</v>
      </c>
      <c r="G29">
        <v>857</v>
      </c>
      <c r="H29">
        <v>1</v>
      </c>
      <c r="I29">
        <f>IF(G29=0,0,(G29-$J$6)/$I$6)*H29</f>
        <v>18.213919615586988</v>
      </c>
      <c r="J29">
        <f>1.51*I29/1000</f>
        <v>2.7503018619536353E-2</v>
      </c>
      <c r="K29" s="3" t="s">
        <v>57</v>
      </c>
      <c r="L29">
        <v>826</v>
      </c>
      <c r="M29">
        <v>1</v>
      </c>
      <c r="N29">
        <f>IF(L29=0,0,(L29-$J$6)/$I$6)*M29</f>
        <v>17.544934635933085</v>
      </c>
      <c r="O29">
        <f>1.51*N29/1000</f>
        <v>2.6492851300258958E-2</v>
      </c>
      <c r="P29" s="3" t="s">
        <v>57</v>
      </c>
      <c r="Q29">
        <v>700</v>
      </c>
      <c r="R29">
        <v>1</v>
      </c>
      <c r="S29">
        <f>IF(Q29=0,0,(Q29-$J$6)/$I$6)*R29</f>
        <v>14.825834396049489</v>
      </c>
      <c r="T29">
        <f>1.51*S29/1000</f>
        <v>2.2387009938034729E-2</v>
      </c>
    </row>
    <row r="30" spans="1:20" x14ac:dyDescent="0.25">
      <c r="A30" s="3" t="s">
        <v>58</v>
      </c>
      <c r="B30">
        <v>2170</v>
      </c>
      <c r="C30">
        <v>1</v>
      </c>
      <c r="D30">
        <f>IF(B30=0,0,(B30-$J$7)/$I$7)*C30</f>
        <v>42.758301090146269</v>
      </c>
      <c r="E30">
        <f>1.82*D30/1000</f>
        <v>7.7820107984066217E-2</v>
      </c>
      <c r="F30" s="3" t="s">
        <v>58</v>
      </c>
      <c r="G30">
        <v>1889</v>
      </c>
      <c r="H30">
        <v>1</v>
      </c>
      <c r="I30">
        <f>IF(G30=0,0,(G30-$J$7)/$I$7)*H30</f>
        <v>37.952452522927388</v>
      </c>
      <c r="J30">
        <f>1.82*I30/1000</f>
        <v>6.9073463591727849E-2</v>
      </c>
      <c r="K30" s="3" t="s">
        <v>58</v>
      </c>
      <c r="L30">
        <v>2068</v>
      </c>
      <c r="M30">
        <v>1</v>
      </c>
      <c r="N30">
        <f>IF(L30=0,0,(L30-$J$7)/$I$7)*M30</f>
        <v>41.013829368237637</v>
      </c>
      <c r="O30">
        <f>1.82*N30/1000</f>
        <v>7.4645169450192492E-2</v>
      </c>
      <c r="P30" s="3" t="s">
        <v>58</v>
      </c>
      <c r="Q30">
        <v>2723</v>
      </c>
      <c r="R30">
        <v>1</v>
      </c>
      <c r="S30">
        <f>IF(Q30=0,0,(Q30-$J$7)/$I$7)*R30</f>
        <v>52.216074249121512</v>
      </c>
      <c r="T30">
        <f>1.82*S30/1000</f>
        <v>9.5033255133401162E-2</v>
      </c>
    </row>
    <row r="31" spans="1:20" x14ac:dyDescent="0.25">
      <c r="A31" s="3" t="s">
        <v>59</v>
      </c>
      <c r="B31">
        <v>408</v>
      </c>
      <c r="C31">
        <v>1</v>
      </c>
      <c r="D31">
        <f>IF(B31=0,0,(B31-$J$8)/$I$8)*C31</f>
        <v>11.976372042485195</v>
      </c>
      <c r="E31">
        <f>1.82*D31/1000</f>
        <v>2.1796997117323056E-2</v>
      </c>
      <c r="F31" s="3" t="s">
        <v>59</v>
      </c>
      <c r="G31">
        <v>351</v>
      </c>
      <c r="H31">
        <v>1</v>
      </c>
      <c r="I31">
        <f>IF(G31=0,0,(G31-$J$8)/$I$8)*H31</f>
        <v>11.026963282979876</v>
      </c>
      <c r="J31">
        <f>1.82*I31/1000</f>
        <v>2.0069073175023378E-2</v>
      </c>
      <c r="K31" s="3" t="s">
        <v>59</v>
      </c>
      <c r="L31">
        <v>446</v>
      </c>
      <c r="M31">
        <v>1</v>
      </c>
      <c r="N31">
        <f>IF(L31=0,0,(L31-$J$8)/$I$8)*M31</f>
        <v>12.60931121548874</v>
      </c>
      <c r="O31">
        <f>1.82*N31/1000</f>
        <v>2.2948946412189506E-2</v>
      </c>
      <c r="P31" s="3" t="s">
        <v>59</v>
      </c>
      <c r="Q31">
        <v>507</v>
      </c>
      <c r="R31">
        <v>1</v>
      </c>
      <c r="S31">
        <f>IF(Q31=0,0,(Q31-$J$8)/$I$8)*R31</f>
        <v>13.625345151099696</v>
      </c>
      <c r="T31">
        <f>1.82*S31/1000</f>
        <v>2.4798128175001447E-2</v>
      </c>
    </row>
    <row r="32" spans="1:20" x14ac:dyDescent="0.25">
      <c r="A32" s="3" t="s">
        <v>60</v>
      </c>
      <c r="B32">
        <v>244</v>
      </c>
      <c r="C32">
        <v>1</v>
      </c>
      <c r="D32">
        <f>IF(B32=0,0,(B32-$J$9)/$I$9)*C32</f>
        <v>9.8130316858853046</v>
      </c>
      <c r="E32">
        <f>2.04*D32/1000</f>
        <v>2.001858463920602E-2</v>
      </c>
      <c r="F32" s="3" t="s">
        <v>60</v>
      </c>
      <c r="G32">
        <v>286</v>
      </c>
      <c r="H32">
        <v>1</v>
      </c>
      <c r="I32">
        <f>IF(G32=0,0,(G32-$J$9)/$I$9)*H32</f>
        <v>10.459490607944238</v>
      </c>
      <c r="J32">
        <f>2.04*I32/1000</f>
        <v>2.1337360840206245E-2</v>
      </c>
      <c r="K32" s="3" t="s">
        <v>60</v>
      </c>
      <c r="L32">
        <v>247</v>
      </c>
      <c r="M32">
        <v>1</v>
      </c>
      <c r="N32">
        <f>IF(L32=0,0,(L32-$J$9)/$I$9)*M32</f>
        <v>9.8592073231752284</v>
      </c>
      <c r="O32">
        <f>2.04*N32/1000</f>
        <v>2.0112782939277464E-2</v>
      </c>
      <c r="P32" s="3" t="s">
        <v>60</v>
      </c>
      <c r="Q32">
        <v>256</v>
      </c>
      <c r="R32">
        <v>1</v>
      </c>
      <c r="S32">
        <f>IF(Q32=0,0,(Q32-$J$9)/$I$9)*R32</f>
        <v>9.9977342350449998</v>
      </c>
      <c r="T32">
        <f>2.04*S32/1000</f>
        <v>2.0395377839491802E-2</v>
      </c>
    </row>
    <row r="33" spans="1:20" x14ac:dyDescent="0.25">
      <c r="A33" s="3" t="s">
        <v>61</v>
      </c>
      <c r="B33">
        <v>0</v>
      </c>
      <c r="C33">
        <v>1</v>
      </c>
      <c r="D33">
        <f>IF(B33=0,0,(B33-$J$10)/$I$10)*C33</f>
        <v>0</v>
      </c>
      <c r="E33">
        <f>2.04*D33/1000</f>
        <v>0</v>
      </c>
      <c r="F33" s="3" t="s">
        <v>61</v>
      </c>
      <c r="G33">
        <v>0</v>
      </c>
      <c r="H33">
        <v>1</v>
      </c>
      <c r="I33">
        <f>IF(G33=0,0,(G33-$J$10)/$I$10)*H33</f>
        <v>0</v>
      </c>
      <c r="J33">
        <f>2.04*I33/1000</f>
        <v>0</v>
      </c>
      <c r="K33" s="3" t="s">
        <v>61</v>
      </c>
      <c r="L33">
        <v>0</v>
      </c>
      <c r="M33">
        <v>1</v>
      </c>
      <c r="N33">
        <f>IF(L33=0,0,(L33-$J$10)/$I$10)*M33</f>
        <v>0</v>
      </c>
      <c r="O33">
        <f>2.04*N33/1000</f>
        <v>0</v>
      </c>
      <c r="P33" s="3" t="s">
        <v>61</v>
      </c>
      <c r="Q33">
        <v>0</v>
      </c>
      <c r="R33">
        <v>1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62</v>
      </c>
      <c r="B34">
        <v>1531</v>
      </c>
      <c r="C34">
        <v>1</v>
      </c>
      <c r="D34">
        <f>IF(B34=0,0,(B34-$J$11)/$I$11)*1</f>
        <v>-37.567587230036239</v>
      </c>
      <c r="E34">
        <f>2.21*D34/1000</f>
        <v>-8.3024367778380084E-2</v>
      </c>
      <c r="F34" s="3" t="s">
        <v>62</v>
      </c>
      <c r="G34">
        <v>1684</v>
      </c>
      <c r="H34">
        <v>1</v>
      </c>
      <c r="I34">
        <f>IF(G34=0,0,(G34-$J$11)/$I$11)*1</f>
        <v>-35.219726256026938</v>
      </c>
      <c r="J34">
        <f>2.21*I34/1000</f>
        <v>-7.7835595025819534E-2</v>
      </c>
      <c r="K34" s="3" t="s">
        <v>62</v>
      </c>
      <c r="L34">
        <v>1568</v>
      </c>
      <c r="M34">
        <v>1</v>
      </c>
      <c r="N34">
        <f>IF(L34=0,0,(L34-$J$11)/$I$11)*1</f>
        <v>-36.9998038572366</v>
      </c>
      <c r="O34">
        <f>2.21*N34/1000</f>
        <v>-8.1769566524492882E-2</v>
      </c>
      <c r="P34" s="3" t="s">
        <v>62</v>
      </c>
      <c r="Q34">
        <v>2651</v>
      </c>
      <c r="R34">
        <v>1</v>
      </c>
      <c r="S34">
        <f>IF(Q34=0,0,(Q34-$J$11)/$I$11)*1</f>
        <v>-20.380631080425669</v>
      </c>
      <c r="T34">
        <f>2.21*S34/1000</f>
        <v>-4.5041194687740725E-2</v>
      </c>
    </row>
    <row r="35" spans="1:20" x14ac:dyDescent="0.25">
      <c r="A35" s="3" t="s">
        <v>63</v>
      </c>
      <c r="B35">
        <v>306</v>
      </c>
      <c r="C35">
        <v>1</v>
      </c>
      <c r="D35">
        <f>IF(B35=0,0,(B35-$J$12)/$I$12)*1</f>
        <v>11.671952279858818</v>
      </c>
      <c r="E35">
        <f>2.34*D35/1000</f>
        <v>2.7312368334869632E-2</v>
      </c>
      <c r="F35" s="3" t="s">
        <v>63</v>
      </c>
      <c r="G35">
        <v>275</v>
      </c>
      <c r="H35">
        <v>1</v>
      </c>
      <c r="I35">
        <f>IF(G35=0,0,(G35-$J$12)/$I$12)*1</f>
        <v>11.218437251174208</v>
      </c>
      <c r="J35">
        <f>2.34*I35/1000</f>
        <v>2.6251143167747647E-2</v>
      </c>
      <c r="K35" s="3" t="s">
        <v>63</v>
      </c>
      <c r="L35">
        <v>241</v>
      </c>
      <c r="M35">
        <v>1</v>
      </c>
      <c r="N35">
        <f>IF(L35=0,0,(L35-$J$12)/$I$12)*1</f>
        <v>10.721033671326571</v>
      </c>
      <c r="O35">
        <f>2.34*N35/1000</f>
        <v>2.5087218790904173E-2</v>
      </c>
      <c r="P35" s="3" t="s">
        <v>63</v>
      </c>
      <c r="Q35">
        <v>236</v>
      </c>
      <c r="R35">
        <v>1</v>
      </c>
      <c r="S35">
        <f>IF(Q35=0,0,(Q35-$J$12)/$I$12)*1</f>
        <v>10.647886086054861</v>
      </c>
      <c r="T35">
        <f>2.34*S35/1000</f>
        <v>2.4916053441368373E-2</v>
      </c>
    </row>
    <row r="36" spans="1:20" x14ac:dyDescent="0.25">
      <c r="B36" s="3" t="s">
        <v>69</v>
      </c>
      <c r="C36" s="3"/>
      <c r="D36" s="3">
        <f>SUM(D28:D35)</f>
        <v>194.04212702555725</v>
      </c>
      <c r="E36" s="3">
        <f>SUM(E28:E35)</f>
        <v>0.23857549164264572</v>
      </c>
      <c r="G36" s="3" t="s">
        <v>69</v>
      </c>
      <c r="H36" s="3"/>
      <c r="I36" s="3">
        <f>SUM(I28:I35)</f>
        <v>242.55035862055277</v>
      </c>
      <c r="J36" s="3">
        <f>SUM(J28:J35)</f>
        <v>0.28852020347610663</v>
      </c>
      <c r="L36" s="3" t="s">
        <v>69</v>
      </c>
      <c r="M36" s="3"/>
      <c r="N36" s="3">
        <f>SUM(N28:N35)</f>
        <v>387.43547741084672</v>
      </c>
      <c r="O36" s="3">
        <f>SUM(O28:O35)</f>
        <v>0.44349245497602646</v>
      </c>
      <c r="Q36" s="3" t="s">
        <v>69</v>
      </c>
      <c r="R36" s="3"/>
      <c r="S36" s="3">
        <f>SUM(S28:S35)</f>
        <v>917.77309423722079</v>
      </c>
      <c r="T36" s="3">
        <f>SUM(T28:T35)</f>
        <v>1.0379083406238521</v>
      </c>
    </row>
    <row r="38" spans="1:20" x14ac:dyDescent="0.25">
      <c r="A38" s="16" t="s">
        <v>64</v>
      </c>
      <c r="B38" s="3" t="s">
        <v>39</v>
      </c>
      <c r="C38" s="3"/>
      <c r="F38" s="16" t="s">
        <v>64</v>
      </c>
      <c r="G38" s="3" t="s">
        <v>40</v>
      </c>
      <c r="H38" s="3"/>
      <c r="K38" s="16" t="s">
        <v>64</v>
      </c>
      <c r="L38" s="3" t="s">
        <v>41</v>
      </c>
      <c r="M38" s="3"/>
      <c r="P38" s="16" t="s">
        <v>64</v>
      </c>
      <c r="Q38" s="3" t="s">
        <v>42</v>
      </c>
      <c r="R38" s="3"/>
    </row>
    <row r="39" spans="1:20" x14ac:dyDescent="0.25">
      <c r="A39" s="16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6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6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6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16314</v>
      </c>
      <c r="C40">
        <v>1</v>
      </c>
      <c r="D40">
        <f>IF(B40=0,0,(B40-$J$5)/$I$5)*C40</f>
        <v>564.92500677087321</v>
      </c>
      <c r="E40">
        <f>1.07*D40/1000</f>
        <v>0.60446975724483432</v>
      </c>
      <c r="F40" s="3" t="s">
        <v>56</v>
      </c>
      <c r="G40">
        <v>15659</v>
      </c>
      <c r="H40">
        <v>1</v>
      </c>
      <c r="I40">
        <f>IF(G40=0,0,(G40-$J$5)/$I$5)*H40</f>
        <v>541.92592643754949</v>
      </c>
      <c r="J40">
        <f>1.07*I40/1000</f>
        <v>0.57986074128817799</v>
      </c>
      <c r="K40" s="3" t="s">
        <v>56</v>
      </c>
      <c r="L40">
        <v>9235</v>
      </c>
      <c r="M40">
        <v>1</v>
      </c>
      <c r="N40">
        <f>IF(L40=0,0,(L40-$J$5)/$I$5)*M40</f>
        <v>316.35937367224955</v>
      </c>
      <c r="O40">
        <f>1.07*N40/1000</f>
        <v>0.33850452982930707</v>
      </c>
      <c r="P40" s="3" t="s">
        <v>56</v>
      </c>
      <c r="Q40">
        <v>10909</v>
      </c>
      <c r="R40">
        <v>1</v>
      </c>
      <c r="S40">
        <f>IF(Q40=0,0,(Q40-$J$5)/$I$5)*R40</f>
        <v>375.1387026462707</v>
      </c>
      <c r="T40">
        <f>1.07*S40/1000</f>
        <v>0.4013984118315097</v>
      </c>
    </row>
    <row r="41" spans="1:20" x14ac:dyDescent="0.25">
      <c r="A41" s="3" t="s">
        <v>57</v>
      </c>
      <c r="B41">
        <v>514</v>
      </c>
      <c r="C41">
        <v>1</v>
      </c>
      <c r="D41">
        <f>IF(B41=0,0,(B41-$J$6)/$I$6)*C41</f>
        <v>10.811924518126084</v>
      </c>
      <c r="E41">
        <f>1.51*D41/1000</f>
        <v>1.6326006022370387E-2</v>
      </c>
      <c r="F41" s="3" t="s">
        <v>57</v>
      </c>
      <c r="G41">
        <v>524</v>
      </c>
      <c r="H41">
        <v>1</v>
      </c>
      <c r="I41">
        <f>IF(G41=0,0,(G41-$J$6)/$I$6)*H41</f>
        <v>11.027726124466051</v>
      </c>
      <c r="J41">
        <f>1.51*I41/1000</f>
        <v>1.6651866447943739E-2</v>
      </c>
      <c r="K41" s="3" t="s">
        <v>57</v>
      </c>
      <c r="L41">
        <v>462</v>
      </c>
      <c r="M41">
        <v>1</v>
      </c>
      <c r="N41">
        <f>IF(L41=0,0,(L41-$J$6)/$I$6)*M41</f>
        <v>9.6897561651582507</v>
      </c>
      <c r="O41">
        <f>1.51*N41/1000</f>
        <v>1.4631531809388958E-2</v>
      </c>
      <c r="P41" s="3" t="s">
        <v>57</v>
      </c>
      <c r="Q41">
        <v>510</v>
      </c>
      <c r="R41">
        <v>1</v>
      </c>
      <c r="S41">
        <f>IF(Q41=0,0,(Q41-$J$6)/$I$6)*R41</f>
        <v>10.725603875590096</v>
      </c>
      <c r="T41">
        <f>1.51*S41/1000</f>
        <v>1.6195661852141042E-2</v>
      </c>
    </row>
    <row r="42" spans="1:20" x14ac:dyDescent="0.25">
      <c r="A42" s="3" t="s">
        <v>58</v>
      </c>
      <c r="B42">
        <v>2068</v>
      </c>
      <c r="C42">
        <v>1</v>
      </c>
      <c r="D42">
        <f>IF(B42=0,0,(B42-$J$7)/$I$7)*C42</f>
        <v>41.013829368237637</v>
      </c>
      <c r="E42">
        <f>1.82*D42/1000</f>
        <v>7.4645169450192492E-2</v>
      </c>
      <c r="F42" s="3" t="s">
        <v>58</v>
      </c>
      <c r="G42">
        <v>2384</v>
      </c>
      <c r="H42">
        <v>1</v>
      </c>
      <c r="I42">
        <f>IF(G42=0,0,(G42-$J$7)/$I$7)*H42</f>
        <v>46.41827117336635</v>
      </c>
      <c r="J42">
        <f>1.82*I42/1000</f>
        <v>8.4481253535526768E-2</v>
      </c>
      <c r="K42" s="3" t="s">
        <v>58</v>
      </c>
      <c r="L42">
        <v>1645</v>
      </c>
      <c r="M42">
        <v>1</v>
      </c>
      <c r="N42">
        <f>IF(L42=0,0,(L42-$J$7)/$I$7)*M42</f>
        <v>33.779402521498895</v>
      </c>
      <c r="O42">
        <f>1.82*N42/1000</f>
        <v>6.1478512589127988E-2</v>
      </c>
      <c r="P42" s="3" t="s">
        <v>58</v>
      </c>
      <c r="Q42">
        <v>1724</v>
      </c>
      <c r="R42">
        <v>1</v>
      </c>
      <c r="S42">
        <f>IF(Q42=0,0,(Q42-$J$7)/$I$7)*R42</f>
        <v>35.130512972781069</v>
      </c>
      <c r="T42">
        <f>1.82*S42/1000</f>
        <v>6.3937533610461547E-2</v>
      </c>
    </row>
    <row r="43" spans="1:20" x14ac:dyDescent="0.25">
      <c r="A43" s="3" t="s">
        <v>59</v>
      </c>
      <c r="B43">
        <v>456</v>
      </c>
      <c r="C43">
        <v>1</v>
      </c>
      <c r="D43">
        <f>IF(B43=0,0,(B43-$J$8)/$I$8)*C43</f>
        <v>12.775874155752831</v>
      </c>
      <c r="E43">
        <f>1.82*D43/1000</f>
        <v>2.3252090963470154E-2</v>
      </c>
      <c r="F43" s="3" t="s">
        <v>59</v>
      </c>
      <c r="G43">
        <v>510</v>
      </c>
      <c r="H43">
        <v>1</v>
      </c>
      <c r="I43">
        <f>IF(G43=0,0,(G43-$J$8)/$I$8)*H43</f>
        <v>13.675314033178923</v>
      </c>
      <c r="J43">
        <f>1.82*I43/1000</f>
        <v>2.4889071540385641E-2</v>
      </c>
      <c r="K43" s="3" t="s">
        <v>59</v>
      </c>
      <c r="L43">
        <v>399</v>
      </c>
      <c r="M43">
        <v>1</v>
      </c>
      <c r="N43">
        <f>IF(L43=0,0,(L43-$J$8)/$I$8)*M43</f>
        <v>11.826465396247512</v>
      </c>
      <c r="O43">
        <f>1.82*N43/1000</f>
        <v>2.1524167021170472E-2</v>
      </c>
      <c r="P43" s="3" t="s">
        <v>59</v>
      </c>
      <c r="Q43">
        <v>416</v>
      </c>
      <c r="R43">
        <v>1</v>
      </c>
      <c r="S43">
        <f>IF(Q43=0,0,(Q43-$J$8)/$I$8)*R43</f>
        <v>12.109622394696467</v>
      </c>
      <c r="T43">
        <f>1.82*S43/1000</f>
        <v>2.2039512758347569E-2</v>
      </c>
    </row>
    <row r="44" spans="1:20" x14ac:dyDescent="0.25">
      <c r="A44" s="3" t="s">
        <v>60</v>
      </c>
      <c r="B44">
        <v>0</v>
      </c>
      <c r="C44">
        <v>1</v>
      </c>
      <c r="D44">
        <f>IF(B44=0,0,(B44-$J$9)/$I$9)*C44</f>
        <v>0</v>
      </c>
      <c r="E44">
        <f>2.04*D44/1000</f>
        <v>0</v>
      </c>
      <c r="F44" s="3" t="s">
        <v>60</v>
      </c>
      <c r="G44">
        <v>0</v>
      </c>
      <c r="H44">
        <v>1</v>
      </c>
      <c r="I44">
        <f>IF(G44=0,0,(G44-$J$9)/$I$9)*H44</f>
        <v>0</v>
      </c>
      <c r="J44">
        <f>2.04*I44/1000</f>
        <v>0</v>
      </c>
      <c r="K44" s="3" t="s">
        <v>60</v>
      </c>
      <c r="L44">
        <v>0</v>
      </c>
      <c r="M44">
        <v>1</v>
      </c>
      <c r="N44">
        <f>IF(L44=0,0,(L44-$J$9)/$I$9)*M44</f>
        <v>0</v>
      </c>
      <c r="O44">
        <f>2.04*N44/1000</f>
        <v>0</v>
      </c>
      <c r="P44" s="3" t="s">
        <v>60</v>
      </c>
      <c r="Q44">
        <v>0</v>
      </c>
      <c r="R44">
        <v>1</v>
      </c>
      <c r="S44">
        <f>IF(Q44=0,0,(Q44-$J$9)/$I$9)*R44</f>
        <v>0</v>
      </c>
      <c r="T44">
        <f>2.04*S44/1000</f>
        <v>0</v>
      </c>
    </row>
    <row r="45" spans="1:20" x14ac:dyDescent="0.25">
      <c r="A45" s="3" t="s">
        <v>61</v>
      </c>
      <c r="B45">
        <v>0</v>
      </c>
      <c r="C45">
        <v>1</v>
      </c>
      <c r="D45">
        <f>IF(B45=0,0,(B45-$J$10)/$I$10)*C45</f>
        <v>0</v>
      </c>
      <c r="E45">
        <f>2.04*D45/1000</f>
        <v>0</v>
      </c>
      <c r="F45" s="3" t="s">
        <v>61</v>
      </c>
      <c r="G45">
        <v>0</v>
      </c>
      <c r="H45">
        <v>1</v>
      </c>
      <c r="I45">
        <f>IF(G45=0,0,(G45-$J$10)/$I$10)*H45</f>
        <v>0</v>
      </c>
      <c r="J45">
        <f>2.04*I45/1000</f>
        <v>0</v>
      </c>
      <c r="K45" s="3" t="s">
        <v>61</v>
      </c>
      <c r="L45">
        <v>0</v>
      </c>
      <c r="M45">
        <v>1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2483</v>
      </c>
      <c r="C46">
        <v>1</v>
      </c>
      <c r="D46">
        <f>IF(B46=0,0,(B46-$J$11)/$I$11)*1</f>
        <v>-22.958674502867254</v>
      </c>
      <c r="E46">
        <f>2.21*D46/1000</f>
        <v>-5.073867065133663E-2</v>
      </c>
      <c r="F46" s="3" t="s">
        <v>62</v>
      </c>
      <c r="G46">
        <v>3000</v>
      </c>
      <c r="H46">
        <v>1</v>
      </c>
      <c r="I46">
        <f>IF(G46=0,0,(G46-$J$11)/$I$11)*1</f>
        <v>-15.025052780234518</v>
      </c>
      <c r="J46">
        <f>2.21*I46/1000</f>
        <v>-3.3205366644318279E-2</v>
      </c>
      <c r="K46" s="3" t="s">
        <v>62</v>
      </c>
      <c r="L46">
        <v>4067</v>
      </c>
      <c r="M46">
        <v>1</v>
      </c>
      <c r="N46">
        <f>IF(L46=0,0,(L46-$J$11)/$I$11)*1</f>
        <v>1.3485920515819803</v>
      </c>
      <c r="O46">
        <f>2.21*N46/1000</f>
        <v>2.9803884339961763E-3</v>
      </c>
      <c r="P46" s="3" t="s">
        <v>62</v>
      </c>
      <c r="Q46">
        <v>5272</v>
      </c>
      <c r="R46">
        <v>1</v>
      </c>
      <c r="S46">
        <f>IF(Q46=0,0,(Q46-$J$11)/$I$11)*1</f>
        <v>19.839915408975493</v>
      </c>
      <c r="T46">
        <f>2.21*S46/1000</f>
        <v>4.3846213053835841E-2</v>
      </c>
    </row>
    <row r="47" spans="1:20" x14ac:dyDescent="0.25">
      <c r="A47" s="3" t="s">
        <v>63</v>
      </c>
      <c r="B47">
        <v>0</v>
      </c>
      <c r="C47">
        <v>1</v>
      </c>
      <c r="D47">
        <f>IF(B47=0,0,(B47-$J$12)/$I$12)*1</f>
        <v>0</v>
      </c>
      <c r="E47">
        <f>2.34*D47/1000</f>
        <v>0</v>
      </c>
      <c r="F47" s="3" t="s">
        <v>63</v>
      </c>
      <c r="G47">
        <v>0</v>
      </c>
      <c r="H47">
        <v>1</v>
      </c>
      <c r="I47">
        <f>IF(G47=0,0,(G47-$J$12)/$I$12)*1</f>
        <v>0</v>
      </c>
      <c r="J47">
        <f>2.34*I47/1000</f>
        <v>0</v>
      </c>
      <c r="K47" s="3" t="s">
        <v>63</v>
      </c>
      <c r="L47">
        <v>0</v>
      </c>
      <c r="M47">
        <v>1</v>
      </c>
      <c r="N47">
        <f>IF(L47=0,0,(L47-$J$12)/$I$12)*1</f>
        <v>0</v>
      </c>
      <c r="O47">
        <f>2.34*N47/1000</f>
        <v>0</v>
      </c>
      <c r="P47" s="3" t="s">
        <v>63</v>
      </c>
      <c r="Q47">
        <v>0</v>
      </c>
      <c r="R47">
        <v>1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606.56796031012254</v>
      </c>
      <c r="E48" s="3">
        <f>SUM(E40:E47)</f>
        <v>0.66795435302953077</v>
      </c>
      <c r="F48" s="3"/>
      <c r="G48" s="3" t="s">
        <v>69</v>
      </c>
      <c r="H48" s="3"/>
      <c r="I48" s="3">
        <f>SUM(I40:I47)</f>
        <v>598.02218498832622</v>
      </c>
      <c r="J48" s="3">
        <f>SUM(J40:J47)</f>
        <v>0.67267756616771579</v>
      </c>
      <c r="K48" s="3"/>
      <c r="L48" s="3" t="s">
        <v>69</v>
      </c>
      <c r="M48" s="3"/>
      <c r="N48" s="3">
        <f>SUM(N40:N47)</f>
        <v>373.00358980673622</v>
      </c>
      <c r="O48" s="3">
        <f>SUM(O40:O47)</f>
        <v>0.43911912968299072</v>
      </c>
      <c r="P48" s="3"/>
      <c r="Q48" s="3" t="s">
        <v>69</v>
      </c>
      <c r="R48" s="3"/>
      <c r="S48" s="3">
        <f>SUM(S40:S47)</f>
        <v>452.94435729831383</v>
      </c>
      <c r="T48" s="3">
        <f>SUM(T40:T47)</f>
        <v>0.5474173331062957</v>
      </c>
    </row>
    <row r="50" spans="1:13" x14ac:dyDescent="0.25">
      <c r="A50" s="16" t="s">
        <v>64</v>
      </c>
      <c r="B50" s="3" t="s">
        <v>43</v>
      </c>
      <c r="C50" s="3"/>
      <c r="F50" s="16" t="s">
        <v>64</v>
      </c>
      <c r="G50" s="3" t="s">
        <v>44</v>
      </c>
      <c r="H50" s="3"/>
      <c r="M50" s="3"/>
    </row>
    <row r="51" spans="1:13" x14ac:dyDescent="0.25">
      <c r="A51" s="16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6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B52">
        <v>7034</v>
      </c>
      <c r="C52">
        <v>1</v>
      </c>
      <c r="D52">
        <f>IF(B52=0,0,(B52-$J$5)/$I$5)*C52</f>
        <v>239.07544113233277</v>
      </c>
      <c r="E52">
        <f>1.07*D52/1000</f>
        <v>0.2558107220115961</v>
      </c>
      <c r="F52" s="3" t="s">
        <v>56</v>
      </c>
      <c r="G52">
        <v>6813</v>
      </c>
      <c r="H52">
        <v>1</v>
      </c>
      <c r="I52">
        <f>IF(G52=0,0,(G52-$J$5)/$I$5)*H52</f>
        <v>231.3154460885701</v>
      </c>
      <c r="J52">
        <f>1.07*I52/1000</f>
        <v>0.24750752731477002</v>
      </c>
    </row>
    <row r="53" spans="1:13" x14ac:dyDescent="0.25">
      <c r="A53" s="3" t="s">
        <v>57</v>
      </c>
      <c r="B53">
        <v>608</v>
      </c>
      <c r="C53">
        <v>1</v>
      </c>
      <c r="D53">
        <f>IF(B53=0,0,(B53-$J$6)/$I$6)*C53</f>
        <v>12.840459617721784</v>
      </c>
      <c r="E53">
        <f>1.51*D53/1000</f>
        <v>1.9389094022759894E-2</v>
      </c>
      <c r="F53" s="3" t="s">
        <v>57</v>
      </c>
      <c r="G53">
        <v>580</v>
      </c>
      <c r="H53">
        <v>1</v>
      </c>
      <c r="I53">
        <f>IF(G53=0,0,(G53-$J$6)/$I$6)*H53</f>
        <v>12.236215119969874</v>
      </c>
      <c r="J53">
        <f>1.51*I53/1000</f>
        <v>1.847668483115451E-2</v>
      </c>
    </row>
    <row r="54" spans="1:13" x14ac:dyDescent="0.25">
      <c r="A54" s="3" t="s">
        <v>58</v>
      </c>
      <c r="B54">
        <v>1160</v>
      </c>
      <c r="C54">
        <v>1</v>
      </c>
      <c r="D54">
        <f>IF(B54=0,0,(B54-$J$7)/$I$7)*C54</f>
        <v>25.484610510462744</v>
      </c>
      <c r="E54">
        <f>1.82*D54/1000</f>
        <v>4.6381991129042198E-2</v>
      </c>
      <c r="F54" s="3" t="s">
        <v>58</v>
      </c>
      <c r="G54">
        <v>1814</v>
      </c>
      <c r="H54">
        <v>1</v>
      </c>
      <c r="I54">
        <f>IF(G54=0,0,(G54-$J$7)/$I$7)*H54</f>
        <v>36.669752727406333</v>
      </c>
      <c r="J54">
        <f>1.82*I54/1000</f>
        <v>6.6738949963879537E-2</v>
      </c>
    </row>
    <row r="55" spans="1:13" x14ac:dyDescent="0.25">
      <c r="A55" s="3" t="s">
        <v>59</v>
      </c>
      <c r="B55">
        <v>433</v>
      </c>
      <c r="C55">
        <v>1</v>
      </c>
      <c r="D55">
        <f>IF(B55=0,0,(B55-$J$8)/$I$8)*C55</f>
        <v>12.392779393145423</v>
      </c>
      <c r="E55">
        <f>1.82*D55/1000</f>
        <v>2.255485849552467E-2</v>
      </c>
      <c r="F55" s="3" t="s">
        <v>59</v>
      </c>
      <c r="G55">
        <v>469</v>
      </c>
      <c r="H55">
        <v>1</v>
      </c>
      <c r="I55">
        <f>IF(G55=0,0,(G55-$J$8)/$I$8)*H55</f>
        <v>12.99240597809615</v>
      </c>
      <c r="J55">
        <f>1.82*I55/1000</f>
        <v>2.3646178880134993E-2</v>
      </c>
    </row>
    <row r="56" spans="1:13" x14ac:dyDescent="0.25">
      <c r="A56" s="3" t="s">
        <v>60</v>
      </c>
      <c r="B56">
        <v>0</v>
      </c>
      <c r="C56">
        <v>1</v>
      </c>
      <c r="D56">
        <f>IF(B56=0,0,(B56-$J$9)/$I$9)*C56</f>
        <v>0</v>
      </c>
      <c r="E56">
        <f>2.04*D56/1000</f>
        <v>0</v>
      </c>
      <c r="F56" s="3" t="s">
        <v>60</v>
      </c>
      <c r="G56">
        <v>0</v>
      </c>
      <c r="H56">
        <v>1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61</v>
      </c>
      <c r="B57">
        <v>0</v>
      </c>
      <c r="C57">
        <v>1</v>
      </c>
      <c r="D57">
        <f>IF(B57=0,0,(B57-$J$10)/$I$10)*C57</f>
        <v>0</v>
      </c>
      <c r="E57">
        <f>2.04*D57/1000</f>
        <v>0</v>
      </c>
      <c r="F57" s="3" t="s">
        <v>61</v>
      </c>
      <c r="G57">
        <v>0</v>
      </c>
      <c r="H57">
        <v>1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62</v>
      </c>
      <c r="B58">
        <v>6170</v>
      </c>
      <c r="C58">
        <v>1</v>
      </c>
      <c r="D58">
        <f>IF(B58=0,0,(B58-$J$11)/$I$11)*1</f>
        <v>33.620171321788256</v>
      </c>
      <c r="E58">
        <f>2.21*D58/1000</f>
        <v>7.4300578621152039E-2</v>
      </c>
      <c r="F58" s="3" t="s">
        <v>62</v>
      </c>
      <c r="G58">
        <v>6041</v>
      </c>
      <c r="H58">
        <v>1</v>
      </c>
      <c r="I58">
        <f>IF(G58=0,0,(G58-$J$11)/$I$11)*1</f>
        <v>31.640602265270608</v>
      </c>
      <c r="J58">
        <f>2.21*I58/1000</f>
        <v>6.9925731006248049E-2</v>
      </c>
    </row>
    <row r="59" spans="1:13" x14ac:dyDescent="0.25">
      <c r="A59" s="3" t="s">
        <v>63</v>
      </c>
      <c r="B59">
        <v>0</v>
      </c>
      <c r="C59">
        <v>1</v>
      </c>
      <c r="D59">
        <f>IF(B59=0,0,(B59-$J$12)/$I$12)*1</f>
        <v>0</v>
      </c>
      <c r="E59">
        <f>2.34*D59/1000</f>
        <v>0</v>
      </c>
      <c r="F59" s="3" t="s">
        <v>63</v>
      </c>
      <c r="G59">
        <v>0</v>
      </c>
      <c r="H59">
        <v>1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69</v>
      </c>
      <c r="C60" s="3"/>
      <c r="D60" s="3">
        <f>SUM(D52:D59)</f>
        <v>323.41346197545096</v>
      </c>
      <c r="E60" s="3">
        <f>SUM(E52:E59)</f>
        <v>0.41843724428007489</v>
      </c>
      <c r="G60" s="3" t="s">
        <v>69</v>
      </c>
      <c r="H60" s="3"/>
      <c r="I60" s="3">
        <f>SUM(I52:I59)</f>
        <v>324.85442217931308</v>
      </c>
      <c r="J60" s="3">
        <f>SUM(J52:J59)</f>
        <v>0.4262950719961871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set up</vt:lpstr>
      <vt:lpstr>TAN</vt:lpstr>
      <vt:lpstr>pH</vt:lpstr>
      <vt:lpstr>VFA summary</vt:lpstr>
      <vt:lpstr>VFA day 1</vt:lpstr>
      <vt:lpstr>VFA day 2</vt:lpstr>
      <vt:lpstr>VFA day 5</vt:lpstr>
      <vt:lpstr>VFA day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2024-10-28T18:13:11Z</dcterms:modified>
</cp:coreProperties>
</file>